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7B038AB-D404-464F-8048-BAD07344861B}" xr6:coauthVersionLast="47" xr6:coauthVersionMax="47" xr10:uidLastSave="{00000000-0000-0000-0000-000000000000}"/>
  <bookViews>
    <workbookView xWindow="-108" yWindow="-108" windowWidth="23256" windowHeight="12456" tabRatio="659" xr2:uid="{00000000-000D-0000-FFFF-FFFF00000000}"/>
  </bookViews>
  <sheets>
    <sheet name="WYBRANE DANE" sheetId="4" r:id="rId1"/>
    <sheet name="BILANS" sheetId="9" r:id="rId2"/>
    <sheet name="RZIS " sheetId="3" r:id="rId3"/>
    <sheet name="PP" sheetId="6" r:id="rId4"/>
    <sheet name="ZZWKW" sheetId="7" r:id="rId5"/>
    <sheet name="SEGMENTY I" sheetId="5" r:id="rId6"/>
    <sheet name="SEGMENTY II" sheetId="21" r:id="rId7"/>
    <sheet name="WKAŹNIKI" sheetId="1" r:id="rId8"/>
    <sheet name="LUBAWA S.A. - WYBRANE DANE" sheetId="22" r:id="rId9"/>
  </sheets>
  <externalReferences>
    <externalReference r:id="rId10"/>
  </externalReferences>
  <definedNames>
    <definedName name="_xlnm.Print_Area" localSheetId="1">BILANS!$A$1:$AF$61</definedName>
    <definedName name="_xlnm.Print_Area" localSheetId="8">'LUBAWA S.A. - WYBRANE DANE'!$A$1:$R$48</definedName>
    <definedName name="_xlnm.Print_Area" localSheetId="3">PP!$A$1:$AG$51</definedName>
    <definedName name="_xlnm.Print_Area" localSheetId="2">'RZIS '!$A$1:$AG$39</definedName>
    <definedName name="_xlnm.Print_Area" localSheetId="5">'SEGMENTY I'!$A$1:$AB$48</definedName>
    <definedName name="_xlnm.Print_Area" localSheetId="6">'SEGMENTY II'!$A$1:$Z$26</definedName>
    <definedName name="_xlnm.Print_Area" localSheetId="7">WKAŹNIKI!$A$1:$Z$16</definedName>
    <definedName name="_xlnm.Print_Area" localSheetId="0">'WYBRANE DANE'!$A$1:$R$48</definedName>
    <definedName name="_xlnm.Print_Area" localSheetId="4">ZZWKW!$A$1:$AN$33</definedName>
  </definedNames>
  <calcPr calcId="181029"/>
  <fileRecoveryPr autoRecover="0"/>
</workbook>
</file>

<file path=xl/calcChain.xml><?xml version="1.0" encoding="utf-8"?>
<calcChain xmlns="http://schemas.openxmlformats.org/spreadsheetml/2006/main">
  <c r="B46" i="22" l="1"/>
  <c r="B45" i="22"/>
  <c r="B41" i="22"/>
  <c r="B28" i="22"/>
  <c r="B46" i="21" l="1"/>
  <c r="B36" i="21"/>
  <c r="C36" i="21"/>
  <c r="B34" i="21"/>
  <c r="B22" i="21"/>
  <c r="B10" i="21"/>
  <c r="B8" i="21"/>
  <c r="B12" i="21" s="1"/>
  <c r="B6" i="21"/>
  <c r="B12" i="5"/>
  <c r="B32" i="9"/>
  <c r="B12" i="9"/>
  <c r="B45" i="4"/>
  <c r="B43" i="4"/>
  <c r="B42" i="4"/>
  <c r="B41" i="4"/>
  <c r="B41" i="9"/>
  <c r="B39" i="9"/>
  <c r="B28" i="4"/>
  <c r="B36" i="4" l="1"/>
  <c r="B30" i="4"/>
  <c r="B29" i="4"/>
  <c r="B26" i="4" l="1"/>
  <c r="B44" i="4" s="1"/>
  <c r="B25" i="4"/>
  <c r="B24" i="4"/>
  <c r="B23" i="4"/>
  <c r="B48" i="4"/>
  <c r="B47" i="4"/>
  <c r="C27" i="4"/>
  <c r="D23" i="4"/>
  <c r="D24" i="4"/>
  <c r="D25" i="4"/>
  <c r="D26" i="4"/>
  <c r="D28" i="4" s="1"/>
  <c r="E27" i="4"/>
  <c r="D29" i="4"/>
  <c r="D30" i="4"/>
  <c r="D32" i="4"/>
  <c r="D33" i="4"/>
  <c r="D34" i="4"/>
  <c r="D35" i="4"/>
  <c r="D36" i="4"/>
  <c r="D37" i="4"/>
  <c r="B46" i="4" l="1"/>
  <c r="B48" i="22" l="1"/>
  <c r="B47" i="22"/>
  <c r="B44" i="22"/>
  <c r="B43" i="22"/>
  <c r="B42" i="22"/>
  <c r="C37" i="22"/>
  <c r="C36" i="22"/>
  <c r="C35" i="22"/>
  <c r="C34" i="22"/>
  <c r="C33" i="22"/>
  <c r="C32" i="22"/>
  <c r="C30" i="22"/>
  <c r="C29" i="22"/>
  <c r="C27" i="22"/>
  <c r="C26" i="22"/>
  <c r="C25" i="22"/>
  <c r="C24" i="22"/>
  <c r="C23" i="22"/>
  <c r="B43" i="21" l="1"/>
  <c r="B42" i="21"/>
  <c r="B44" i="21" s="1"/>
  <c r="B48" i="21" s="1"/>
  <c r="B31" i="21"/>
  <c r="B30" i="21"/>
  <c r="B32" i="21" s="1"/>
  <c r="B19" i="21"/>
  <c r="B18" i="21"/>
  <c r="B20" i="21" s="1"/>
  <c r="B24" i="21" s="1"/>
  <c r="B7" i="21"/>
  <c r="B46" i="5"/>
  <c r="B43" i="5"/>
  <c r="B42" i="5"/>
  <c r="B34" i="5"/>
  <c r="B30" i="5"/>
  <c r="B32" i="5" s="1"/>
  <c r="B36" i="5" s="1"/>
  <c r="B20" i="5"/>
  <c r="B8" i="5"/>
  <c r="G74" i="7"/>
  <c r="E74" i="7"/>
  <c r="H74" i="7" s="1"/>
  <c r="D74" i="7"/>
  <c r="F74" i="7"/>
  <c r="B34" i="3"/>
  <c r="B21" i="3"/>
  <c r="B22" i="3"/>
  <c r="B33" i="3"/>
  <c r="B8" i="3"/>
  <c r="B11" i="3" s="1"/>
  <c r="B14" i="3" s="1"/>
  <c r="B18" i="3" s="1"/>
  <c r="B32" i="6"/>
  <c r="B36" i="6" s="1"/>
  <c r="B12" i="6"/>
  <c r="B8" i="6" s="1"/>
  <c r="B24" i="6" s="1"/>
  <c r="B45" i="6"/>
  <c r="B44" i="5" l="1"/>
  <c r="B48" i="5" s="1"/>
  <c r="B24" i="5"/>
  <c r="B36" i="3"/>
  <c r="B23" i="3"/>
  <c r="B47" i="6"/>
  <c r="B49" i="6" s="1"/>
  <c r="B51" i="6" s="1"/>
  <c r="B59" i="9" l="1"/>
  <c r="B37" i="4" s="1"/>
  <c r="B49" i="9"/>
  <c r="B60" i="9" s="1"/>
  <c r="B35" i="4"/>
  <c r="B31" i="9"/>
  <c r="B34" i="4" s="1"/>
  <c r="B17" i="9"/>
  <c r="B33" i="4" s="1"/>
  <c r="D41" i="22"/>
  <c r="D28" i="22"/>
  <c r="E23" i="22"/>
  <c r="B32" i="4" l="1"/>
  <c r="B61" i="9"/>
  <c r="F18" i="7"/>
  <c r="C18" i="7"/>
  <c r="C31" i="9"/>
  <c r="C32" i="9" s="1"/>
  <c r="C17" i="9"/>
  <c r="C22" i="21" l="1"/>
  <c r="C10" i="21"/>
  <c r="C41" i="21"/>
  <c r="D48" i="22" l="1"/>
  <c r="D47" i="22"/>
  <c r="D45" i="22"/>
  <c r="D44" i="22"/>
  <c r="D43" i="22"/>
  <c r="D42" i="22"/>
  <c r="E37" i="22"/>
  <c r="E36" i="22"/>
  <c r="E35" i="22"/>
  <c r="E34" i="22"/>
  <c r="E33" i="22"/>
  <c r="E32" i="22"/>
  <c r="E30" i="22"/>
  <c r="E29" i="22"/>
  <c r="E27" i="22"/>
  <c r="E26" i="22"/>
  <c r="E25" i="22"/>
  <c r="E24" i="22"/>
  <c r="D41" i="4" l="1"/>
  <c r="D46" i="22"/>
  <c r="C31" i="21"/>
  <c r="C29" i="21"/>
  <c r="C19" i="21"/>
  <c r="C18" i="21"/>
  <c r="C20" i="21" s="1"/>
  <c r="C24" i="21" s="1"/>
  <c r="C17" i="21"/>
  <c r="C7" i="21"/>
  <c r="C6" i="21"/>
  <c r="C46" i="5"/>
  <c r="C46" i="21" s="1"/>
  <c r="C43" i="5"/>
  <c r="C43" i="21" s="1"/>
  <c r="C42" i="5"/>
  <c r="C42" i="21" s="1"/>
  <c r="C44" i="21" s="1"/>
  <c r="C30" i="5"/>
  <c r="C32" i="5" s="1"/>
  <c r="C34" i="5"/>
  <c r="C34" i="21" s="1"/>
  <c r="C41" i="5"/>
  <c r="C29" i="5"/>
  <c r="C20" i="5"/>
  <c r="C24" i="5" s="1"/>
  <c r="C17" i="5"/>
  <c r="C8" i="5"/>
  <c r="C12" i="5" s="1"/>
  <c r="G73" i="7"/>
  <c r="F73" i="7"/>
  <c r="C12" i="6"/>
  <c r="C8" i="6" s="1"/>
  <c r="C24" i="6" s="1"/>
  <c r="C45" i="6"/>
  <c r="C36" i="6"/>
  <c r="D12" i="6"/>
  <c r="D8" i="6" s="1"/>
  <c r="D24" i="6" s="1"/>
  <c r="D32" i="6"/>
  <c r="D36" i="6" s="1"/>
  <c r="D45" i="6"/>
  <c r="C30" i="21" l="1"/>
  <c r="C32" i="21" s="1"/>
  <c r="C48" i="21"/>
  <c r="C8" i="21"/>
  <c r="C12" i="21" s="1"/>
  <c r="C44" i="5"/>
  <c r="C48" i="5" s="1"/>
  <c r="C36" i="5"/>
  <c r="C47" i="6"/>
  <c r="C49" i="6" s="1"/>
  <c r="C51" i="6" s="1"/>
  <c r="D47" i="6"/>
  <c r="D49" i="6" s="1"/>
  <c r="D51" i="6" s="1"/>
  <c r="C33" i="3"/>
  <c r="C8" i="3"/>
  <c r="C49" i="9"/>
  <c r="C38" i="9"/>
  <c r="E73" i="7" s="1"/>
  <c r="C37" i="9"/>
  <c r="D73" i="7" s="1"/>
  <c r="H73" i="7" s="1"/>
  <c r="C11" i="3" l="1"/>
  <c r="C14" i="3" l="1"/>
  <c r="C59" i="9"/>
  <c r="C39" i="9"/>
  <c r="C41" i="9" s="1"/>
  <c r="D17" i="9"/>
  <c r="D32" i="9" s="1"/>
  <c r="D31" i="9"/>
  <c r="D37" i="9"/>
  <c r="D39" i="9" s="1"/>
  <c r="D41" i="9" s="1"/>
  <c r="D61" i="9" s="1"/>
  <c r="D38" i="9"/>
  <c r="D49" i="9"/>
  <c r="D59" i="9"/>
  <c r="D60" i="9"/>
  <c r="D45" i="4"/>
  <c r="D43" i="4"/>
  <c r="D42" i="4"/>
  <c r="F41" i="22"/>
  <c r="B10" i="22"/>
  <c r="C18" i="3" l="1"/>
  <c r="C60" i="9"/>
  <c r="C61" i="9" s="1"/>
  <c r="D44" i="4"/>
  <c r="F48" i="22"/>
  <c r="F47" i="22"/>
  <c r="F45" i="22"/>
  <c r="F44" i="22"/>
  <c r="F43" i="22"/>
  <c r="F42" i="22"/>
  <c r="C19" i="22"/>
  <c r="C18" i="22"/>
  <c r="C17" i="22"/>
  <c r="C16" i="22"/>
  <c r="C15" i="22"/>
  <c r="C14" i="22"/>
  <c r="C12" i="22"/>
  <c r="C11" i="22"/>
  <c r="C9" i="22"/>
  <c r="C8" i="22"/>
  <c r="C7" i="22"/>
  <c r="C6" i="22"/>
  <c r="C5" i="22"/>
  <c r="D46" i="4" l="1"/>
  <c r="C21" i="3"/>
  <c r="F45" i="4"/>
  <c r="B19" i="4"/>
  <c r="B18" i="4"/>
  <c r="B17" i="4"/>
  <c r="B16" i="4"/>
  <c r="B15" i="4"/>
  <c r="B14" i="4"/>
  <c r="B5" i="4"/>
  <c r="D18" i="21"/>
  <c r="D47" i="4" l="1"/>
  <c r="C34" i="3"/>
  <c r="C36" i="3" s="1"/>
  <c r="C23" i="3"/>
  <c r="D31" i="3"/>
  <c r="D48" i="4" l="1"/>
  <c r="F28" i="22"/>
  <c r="I23" i="22"/>
  <c r="I24" i="22"/>
  <c r="I25" i="22"/>
  <c r="I26" i="22"/>
  <c r="I27" i="22"/>
  <c r="H28" i="22"/>
  <c r="I29" i="22"/>
  <c r="I30" i="22"/>
  <c r="I32" i="22"/>
  <c r="I33" i="22"/>
  <c r="I34" i="22"/>
  <c r="I35" i="22"/>
  <c r="I36" i="22"/>
  <c r="I37" i="22"/>
  <c r="F46" i="22" l="1"/>
  <c r="E5" i="22"/>
  <c r="E6" i="22"/>
  <c r="E7" i="22"/>
  <c r="E8" i="22"/>
  <c r="E9" i="22"/>
  <c r="D10" i="22"/>
  <c r="C10" i="22" s="1"/>
  <c r="E11" i="22"/>
  <c r="E12" i="22"/>
  <c r="E14" i="22"/>
  <c r="E15" i="22"/>
  <c r="E16" i="22"/>
  <c r="E17" i="22"/>
  <c r="E18" i="22"/>
  <c r="E19" i="22"/>
  <c r="F23" i="4"/>
  <c r="D19" i="21" l="1"/>
  <c r="D17" i="21"/>
  <c r="D7" i="21"/>
  <c r="D6" i="21"/>
  <c r="D43" i="5"/>
  <c r="D42" i="5"/>
  <c r="D31" i="5"/>
  <c r="D30" i="5"/>
  <c r="D20" i="5"/>
  <c r="D17" i="5"/>
  <c r="D29" i="5" s="1"/>
  <c r="D41" i="5" s="1"/>
  <c r="D8" i="5"/>
  <c r="D12" i="5" s="1"/>
  <c r="G72" i="7"/>
  <c r="G18" i="7" s="1"/>
  <c r="F72" i="7"/>
  <c r="E72" i="7" s="1"/>
  <c r="E18" i="7" s="1"/>
  <c r="E12" i="6"/>
  <c r="E8" i="6" s="1"/>
  <c r="E24" i="6" s="1"/>
  <c r="E32" i="6"/>
  <c r="E36" i="6"/>
  <c r="E45" i="6"/>
  <c r="D33" i="3"/>
  <c r="D8" i="3"/>
  <c r="E8" i="3"/>
  <c r="H24" i="4" s="1"/>
  <c r="E31" i="3"/>
  <c r="E33" i="3" s="1"/>
  <c r="F35" i="4"/>
  <c r="F37" i="4"/>
  <c r="F34" i="4"/>
  <c r="F33" i="4"/>
  <c r="G27" i="4"/>
  <c r="H23" i="4"/>
  <c r="F41" i="4" s="1"/>
  <c r="I27" i="4"/>
  <c r="C9" i="4"/>
  <c r="E47" i="6" l="1"/>
  <c r="E49" i="6" s="1"/>
  <c r="E51" i="6" s="1"/>
  <c r="D29" i="21"/>
  <c r="D41" i="21" s="1"/>
  <c r="D11" i="3"/>
  <c r="B6" i="4"/>
  <c r="F24" i="4"/>
  <c r="F42" i="4" s="1"/>
  <c r="E11" i="3"/>
  <c r="D32" i="5"/>
  <c r="D36" i="5" s="1"/>
  <c r="D24" i="5"/>
  <c r="D44" i="5"/>
  <c r="D8" i="21"/>
  <c r="D12" i="21" s="1"/>
  <c r="D20" i="21"/>
  <c r="D24" i="21" s="1"/>
  <c r="D72" i="7"/>
  <c r="F36" i="4"/>
  <c r="F32" i="4"/>
  <c r="H72" i="7" l="1"/>
  <c r="D18" i="7"/>
  <c r="H18" i="7" s="1"/>
  <c r="H25" i="4"/>
  <c r="E14" i="3"/>
  <c r="D14" i="3"/>
  <c r="B7" i="4"/>
  <c r="F25" i="4"/>
  <c r="D48" i="5"/>
  <c r="D18" i="3" l="1"/>
  <c r="B8" i="4"/>
  <c r="B10" i="4" s="1"/>
  <c r="F26" i="4"/>
  <c r="E18" i="3"/>
  <c r="H26" i="4"/>
  <c r="H28" i="4" s="1"/>
  <c r="F43" i="4"/>
  <c r="H48" i="22"/>
  <c r="H47" i="22"/>
  <c r="H45" i="22"/>
  <c r="H44" i="22"/>
  <c r="H43" i="22"/>
  <c r="H42" i="22"/>
  <c r="H41" i="22"/>
  <c r="E21" i="3" l="1"/>
  <c r="H29" i="4"/>
  <c r="F28" i="4"/>
  <c r="F46" i="4" s="1"/>
  <c r="F44" i="4"/>
  <c r="D21" i="3"/>
  <c r="B11" i="4"/>
  <c r="F29" i="4"/>
  <c r="E19" i="21"/>
  <c r="E18" i="21"/>
  <c r="E7" i="21"/>
  <c r="E6" i="21"/>
  <c r="E8" i="21" s="1"/>
  <c r="E43" i="5"/>
  <c r="D43" i="21" s="1"/>
  <c r="E42" i="5"/>
  <c r="E31" i="5"/>
  <c r="D31" i="21" s="1"/>
  <c r="E30" i="5"/>
  <c r="D30" i="21" s="1"/>
  <c r="D32" i="21" s="1"/>
  <c r="D36" i="21" s="1"/>
  <c r="E20" i="5"/>
  <c r="E24" i="5" s="1"/>
  <c r="E8" i="5"/>
  <c r="E12" i="5" s="1"/>
  <c r="F8" i="5"/>
  <c r="F12" i="5" s="1"/>
  <c r="F20" i="5"/>
  <c r="F24" i="5" s="1"/>
  <c r="F30" i="5"/>
  <c r="F31" i="5"/>
  <c r="G71" i="7"/>
  <c r="D71" i="7"/>
  <c r="H71" i="7"/>
  <c r="F71" i="7"/>
  <c r="F8" i="3"/>
  <c r="F11" i="3" s="1"/>
  <c r="F14" i="3" s="1"/>
  <c r="F18" i="3" s="1"/>
  <c r="F21" i="3" s="1"/>
  <c r="F31" i="3"/>
  <c r="F33" i="3" s="1"/>
  <c r="B12" i="4" l="1"/>
  <c r="F30" i="4"/>
  <c r="D34" i="3"/>
  <c r="D36" i="3" s="1"/>
  <c r="D23" i="3"/>
  <c r="F47" i="4"/>
  <c r="H30" i="4"/>
  <c r="E34" i="3"/>
  <c r="E20" i="21"/>
  <c r="E24" i="21" s="1"/>
  <c r="E44" i="5"/>
  <c r="D42" i="21"/>
  <c r="D44" i="21" s="1"/>
  <c r="D48" i="21" s="1"/>
  <c r="E30" i="21"/>
  <c r="E31" i="21"/>
  <c r="F32" i="5"/>
  <c r="F36" i="5" s="1"/>
  <c r="E32" i="5"/>
  <c r="E36" i="5" s="1"/>
  <c r="E12" i="21"/>
  <c r="F23" i="3"/>
  <c r="F34" i="3"/>
  <c r="F36" i="3" s="1"/>
  <c r="F48" i="4" l="1"/>
  <c r="E32" i="21"/>
  <c r="E36" i="21" s="1"/>
  <c r="E48" i="5"/>
  <c r="E59" i="9"/>
  <c r="H37" i="4" s="1"/>
  <c r="E49" i="9"/>
  <c r="E39" i="9"/>
  <c r="E41" i="9" s="1"/>
  <c r="H35" i="4" s="1"/>
  <c r="E31" i="9"/>
  <c r="H34" i="4" s="1"/>
  <c r="E17" i="9"/>
  <c r="F17" i="9"/>
  <c r="J33" i="4" s="1"/>
  <c r="C33" i="4" s="1"/>
  <c r="F25" i="9"/>
  <c r="F31" i="9" s="1"/>
  <c r="J34" i="4" s="1"/>
  <c r="C34" i="4" s="1"/>
  <c r="F37" i="9"/>
  <c r="F38" i="9"/>
  <c r="F49" i="9"/>
  <c r="J36" i="4" s="1"/>
  <c r="C36" i="4" s="1"/>
  <c r="F53" i="9"/>
  <c r="F59" i="9"/>
  <c r="H45" i="4"/>
  <c r="J23" i="4"/>
  <c r="C23" i="4" s="1"/>
  <c r="J24" i="4"/>
  <c r="C24" i="4" s="1"/>
  <c r="J25" i="4"/>
  <c r="C25" i="4" s="1"/>
  <c r="J26" i="4"/>
  <c r="K27" i="4"/>
  <c r="J29" i="4"/>
  <c r="J30" i="4"/>
  <c r="C30" i="4" s="1"/>
  <c r="K37" i="22"/>
  <c r="K36" i="22"/>
  <c r="K35" i="22"/>
  <c r="K34" i="22"/>
  <c r="K33" i="22"/>
  <c r="K32" i="22"/>
  <c r="K30" i="22"/>
  <c r="K29" i="22"/>
  <c r="K27" i="22"/>
  <c r="K26" i="22"/>
  <c r="K25" i="22"/>
  <c r="K24" i="22"/>
  <c r="K23" i="22"/>
  <c r="J41" i="22"/>
  <c r="C41" i="22" s="1"/>
  <c r="J28" i="22"/>
  <c r="H47" i="4" l="1"/>
  <c r="C29" i="4"/>
  <c r="J28" i="4"/>
  <c r="C28" i="4" s="1"/>
  <c r="C26" i="4"/>
  <c r="H46" i="22"/>
  <c r="C28" i="22"/>
  <c r="F39" i="9"/>
  <c r="F41" i="9" s="1"/>
  <c r="E32" i="9"/>
  <c r="H32" i="4" s="1"/>
  <c r="H33" i="4"/>
  <c r="E60" i="9"/>
  <c r="H36" i="4"/>
  <c r="F60" i="9"/>
  <c r="F61" i="9" s="1"/>
  <c r="E61" i="9"/>
  <c r="H43" i="4"/>
  <c r="F32" i="9"/>
  <c r="J32" i="4" s="1"/>
  <c r="C32" i="4" s="1"/>
  <c r="J35" i="4"/>
  <c r="C35" i="4" s="1"/>
  <c r="H41" i="4"/>
  <c r="H48" i="4"/>
  <c r="H42" i="4"/>
  <c r="H44" i="4"/>
  <c r="F6" i="21"/>
  <c r="H46" i="4" l="1"/>
  <c r="F17" i="6"/>
  <c r="F10" i="6"/>
  <c r="G33" i="3"/>
  <c r="J37" i="4" l="1"/>
  <c r="C37" i="4" s="1"/>
  <c r="J48" i="22" l="1"/>
  <c r="C48" i="22" s="1"/>
  <c r="J47" i="22"/>
  <c r="C47" i="22" s="1"/>
  <c r="J45" i="22"/>
  <c r="C45" i="22" s="1"/>
  <c r="J44" i="22"/>
  <c r="C44" i="22" s="1"/>
  <c r="J43" i="22"/>
  <c r="C43" i="22" s="1"/>
  <c r="J42" i="22"/>
  <c r="C42" i="22" s="1"/>
  <c r="L41" i="22"/>
  <c r="E41" i="22" s="1"/>
  <c r="L42" i="22"/>
  <c r="E42" i="22" s="1"/>
  <c r="L43" i="22"/>
  <c r="E43" i="22" s="1"/>
  <c r="L44" i="22"/>
  <c r="E44" i="22" s="1"/>
  <c r="L45" i="22"/>
  <c r="E45" i="22" s="1"/>
  <c r="L47" i="22"/>
  <c r="E47" i="22" s="1"/>
  <c r="L48" i="22"/>
  <c r="E48" i="22" s="1"/>
  <c r="L46" i="22" l="1"/>
  <c r="E46" i="22" s="1"/>
  <c r="F19" i="21"/>
  <c r="F18" i="21"/>
  <c r="F7" i="21"/>
  <c r="F8" i="21" s="1"/>
  <c r="F43" i="5"/>
  <c r="E43" i="21" s="1"/>
  <c r="F42" i="5"/>
  <c r="E42" i="21" s="1"/>
  <c r="F31" i="21"/>
  <c r="G70" i="7"/>
  <c r="D70" i="7"/>
  <c r="F70" i="7"/>
  <c r="F32" i="6"/>
  <c r="F36" i="6" s="1"/>
  <c r="F12" i="6"/>
  <c r="F45" i="6"/>
  <c r="G12" i="6"/>
  <c r="G8" i="6" s="1"/>
  <c r="G24" i="6" s="1"/>
  <c r="G36" i="6"/>
  <c r="G45" i="6"/>
  <c r="G17" i="9"/>
  <c r="G31" i="9"/>
  <c r="G37" i="9"/>
  <c r="G38" i="9"/>
  <c r="G39" i="9" s="1"/>
  <c r="G41" i="9" s="1"/>
  <c r="G49" i="9"/>
  <c r="G60" i="9" s="1"/>
  <c r="G59" i="9"/>
  <c r="J45" i="4"/>
  <c r="C45" i="4" s="1"/>
  <c r="G47" i="6" l="1"/>
  <c r="G49" i="6" s="1"/>
  <c r="G51" i="6" s="1"/>
  <c r="E44" i="21"/>
  <c r="E48" i="21" s="1"/>
  <c r="G32" i="9"/>
  <c r="G61" i="9"/>
  <c r="H70" i="7"/>
  <c r="F44" i="5"/>
  <c r="F12" i="21"/>
  <c r="F20" i="21"/>
  <c r="F24" i="21" s="1"/>
  <c r="F8" i="6"/>
  <c r="F24" i="6" s="1"/>
  <c r="F47" i="6" s="1"/>
  <c r="F49" i="6" s="1"/>
  <c r="F51" i="6" s="1"/>
  <c r="F48" i="5" l="1"/>
  <c r="L28" i="22"/>
  <c r="M23" i="22"/>
  <c r="J46" i="22" l="1"/>
  <c r="C46" i="22" s="1"/>
  <c r="E28" i="22"/>
  <c r="L45" i="4"/>
  <c r="E45" i="4" s="1"/>
  <c r="M27" i="4"/>
  <c r="G41" i="21" l="1"/>
  <c r="G31" i="21"/>
  <c r="G29" i="21"/>
  <c r="G19" i="21"/>
  <c r="G18" i="21"/>
  <c r="G17" i="21"/>
  <c r="G7" i="21"/>
  <c r="G6" i="21"/>
  <c r="H6" i="21"/>
  <c r="H7" i="21"/>
  <c r="H17" i="21"/>
  <c r="H29" i="21" s="1"/>
  <c r="H41" i="21" s="1"/>
  <c r="H18" i="21"/>
  <c r="H19" i="21"/>
  <c r="H31" i="21"/>
  <c r="M37" i="22"/>
  <c r="M36" i="22"/>
  <c r="M35" i="22"/>
  <c r="M34" i="22"/>
  <c r="M33" i="22"/>
  <c r="M32" i="22"/>
  <c r="M30" i="22"/>
  <c r="M29" i="22"/>
  <c r="M27" i="22"/>
  <c r="M26" i="22"/>
  <c r="M25" i="22"/>
  <c r="M24" i="22"/>
  <c r="N23" i="22"/>
  <c r="G23" i="22" s="1"/>
  <c r="N24" i="22"/>
  <c r="G24" i="22" s="1"/>
  <c r="N25" i="22"/>
  <c r="G25" i="22" s="1"/>
  <c r="N26" i="22"/>
  <c r="G26" i="22" s="1"/>
  <c r="N27" i="22"/>
  <c r="G27" i="22" s="1"/>
  <c r="N29" i="22"/>
  <c r="G29" i="22" s="1"/>
  <c r="N30" i="22"/>
  <c r="G30" i="22" s="1"/>
  <c r="N32" i="22"/>
  <c r="G32" i="22" s="1"/>
  <c r="N33" i="22"/>
  <c r="G33" i="22" s="1"/>
  <c r="N34" i="22"/>
  <c r="G34" i="22" s="1"/>
  <c r="N35" i="22"/>
  <c r="G35" i="22" s="1"/>
  <c r="N36" i="22"/>
  <c r="G36" i="22" s="1"/>
  <c r="N37" i="22"/>
  <c r="G37" i="22" s="1"/>
  <c r="G20" i="21" l="1"/>
  <c r="G24" i="21" s="1"/>
  <c r="G8" i="21"/>
  <c r="G12" i="21" s="1"/>
  <c r="H8" i="21"/>
  <c r="H12" i="21" s="1"/>
  <c r="H20" i="21"/>
  <c r="L37" i="4"/>
  <c r="E37" i="4" s="1"/>
  <c r="L36" i="4"/>
  <c r="E36" i="4" s="1"/>
  <c r="L35" i="4"/>
  <c r="E35" i="4" s="1"/>
  <c r="L34" i="4"/>
  <c r="E34" i="4" s="1"/>
  <c r="L33" i="4"/>
  <c r="E33" i="4" s="1"/>
  <c r="L32" i="4"/>
  <c r="E32" i="4" s="1"/>
  <c r="L23" i="4"/>
  <c r="E23" i="4" s="1"/>
  <c r="J41" i="4" l="1"/>
  <c r="C41" i="4" s="1"/>
  <c r="H24" i="21"/>
  <c r="L41" i="4"/>
  <c r="E41" i="4" s="1"/>
  <c r="G43" i="5"/>
  <c r="F43" i="21" s="1"/>
  <c r="G42" i="5"/>
  <c r="G30" i="5"/>
  <c r="G32" i="5" s="1"/>
  <c r="G36" i="5" s="1"/>
  <c r="G41" i="5"/>
  <c r="G29" i="5"/>
  <c r="G20" i="5"/>
  <c r="G17" i="5"/>
  <c r="G8" i="5"/>
  <c r="G12" i="5" s="1"/>
  <c r="H8" i="5"/>
  <c r="H12" i="5" s="1"/>
  <c r="H17" i="5"/>
  <c r="H29" i="5" s="1"/>
  <c r="H41" i="5" s="1"/>
  <c r="H20" i="5"/>
  <c r="H30" i="5"/>
  <c r="H42" i="5"/>
  <c r="H43" i="5"/>
  <c r="H43" i="21" s="1"/>
  <c r="G69" i="7"/>
  <c r="D69" i="7"/>
  <c r="F69" i="7"/>
  <c r="E69" i="7" s="1"/>
  <c r="H12" i="6"/>
  <c r="H8" i="6" s="1"/>
  <c r="H24" i="6" s="1"/>
  <c r="H36" i="6"/>
  <c r="H45" i="6"/>
  <c r="G8" i="3"/>
  <c r="H47" i="6" l="1"/>
  <c r="H49" i="6" s="1"/>
  <c r="H51" i="6" s="1"/>
  <c r="G30" i="21"/>
  <c r="G32" i="21" s="1"/>
  <c r="F30" i="21"/>
  <c r="F32" i="21" s="1"/>
  <c r="G42" i="21"/>
  <c r="F42" i="21"/>
  <c r="F44" i="21" s="1"/>
  <c r="H24" i="5"/>
  <c r="H44" i="5"/>
  <c r="H42" i="21"/>
  <c r="H44" i="21" s="1"/>
  <c r="G44" i="5"/>
  <c r="G48" i="5" s="1"/>
  <c r="G43" i="21"/>
  <c r="H32" i="5"/>
  <c r="H30" i="21"/>
  <c r="H32" i="21" s="1"/>
  <c r="G11" i="3"/>
  <c r="L24" i="4"/>
  <c r="E24" i="4" s="1"/>
  <c r="G24" i="5"/>
  <c r="H69" i="7"/>
  <c r="J42" i="4" l="1"/>
  <c r="C42" i="4" s="1"/>
  <c r="H36" i="5"/>
  <c r="H36" i="21"/>
  <c r="G44" i="21"/>
  <c r="G48" i="21" s="1"/>
  <c r="F48" i="21"/>
  <c r="F36" i="21"/>
  <c r="G36" i="21"/>
  <c r="H48" i="21"/>
  <c r="H48" i="5"/>
  <c r="L42" i="4"/>
  <c r="E42" i="4" s="1"/>
  <c r="G14" i="3"/>
  <c r="L25" i="4"/>
  <c r="E25" i="4" s="1"/>
  <c r="N48" i="22"/>
  <c r="G48" i="22" s="1"/>
  <c r="N42" i="22"/>
  <c r="G42" i="22" s="1"/>
  <c r="N41" i="22"/>
  <c r="G41" i="22" s="1"/>
  <c r="N28" i="22"/>
  <c r="G28" i="22" s="1"/>
  <c r="G18" i="3" l="1"/>
  <c r="L26" i="4"/>
  <c r="E26" i="4" s="1"/>
  <c r="J43" i="4"/>
  <c r="C43" i="4" s="1"/>
  <c r="L43" i="4"/>
  <c r="E43" i="4" s="1"/>
  <c r="C17" i="7"/>
  <c r="N45" i="4"/>
  <c r="G45" i="4" s="1"/>
  <c r="N23" i="4"/>
  <c r="G23" i="4" s="1"/>
  <c r="J44" i="4" l="1"/>
  <c r="C44" i="4" s="1"/>
  <c r="L44" i="4"/>
  <c r="E44" i="4" s="1"/>
  <c r="L28" i="4"/>
  <c r="E28" i="4" s="1"/>
  <c r="G21" i="3"/>
  <c r="L29" i="4"/>
  <c r="E29" i="4" s="1"/>
  <c r="D5" i="4"/>
  <c r="C5" i="4" s="1"/>
  <c r="N44" i="22"/>
  <c r="G44" i="22" s="1"/>
  <c r="N45" i="22"/>
  <c r="G45" i="22" s="1"/>
  <c r="N47" i="22"/>
  <c r="G47" i="22" s="1"/>
  <c r="N43" i="22"/>
  <c r="G43" i="22" s="1"/>
  <c r="Q23" i="22"/>
  <c r="Q24" i="22"/>
  <c r="Q25" i="22"/>
  <c r="Q26" i="22"/>
  <c r="Q27" i="22"/>
  <c r="P28" i="22"/>
  <c r="I28" i="22" s="1"/>
  <c r="Q29" i="22"/>
  <c r="Q30" i="22"/>
  <c r="Q32" i="22"/>
  <c r="Q33" i="22"/>
  <c r="Q34" i="22"/>
  <c r="Q35" i="22"/>
  <c r="Q36" i="22"/>
  <c r="Q37" i="22"/>
  <c r="N46" i="22" l="1"/>
  <c r="G46" i="22" s="1"/>
  <c r="J46" i="4"/>
  <c r="C46" i="4" s="1"/>
  <c r="L46" i="4"/>
  <c r="E46" i="4" s="1"/>
  <c r="J47" i="4"/>
  <c r="C47" i="4" s="1"/>
  <c r="L47" i="4"/>
  <c r="E47" i="4" s="1"/>
  <c r="L30" i="4"/>
  <c r="E30" i="4" s="1"/>
  <c r="G34" i="3"/>
  <c r="G36" i="3" s="1"/>
  <c r="G23" i="3"/>
  <c r="I6" i="21"/>
  <c r="I7" i="21"/>
  <c r="I18" i="21"/>
  <c r="I19" i="21"/>
  <c r="I31" i="21"/>
  <c r="I8" i="5"/>
  <c r="I20" i="5"/>
  <c r="I32" i="5"/>
  <c r="I44" i="5"/>
  <c r="G68" i="7"/>
  <c r="G17" i="7" s="1"/>
  <c r="D68" i="7"/>
  <c r="D17" i="7" s="1"/>
  <c r="F68" i="7"/>
  <c r="F17" i="7" s="1"/>
  <c r="I8" i="6"/>
  <c r="I24" i="6" s="1"/>
  <c r="I36" i="6"/>
  <c r="I45" i="6"/>
  <c r="H33" i="3"/>
  <c r="H8" i="3"/>
  <c r="I8" i="3"/>
  <c r="I11" i="3" s="1"/>
  <c r="I14" i="3" s="1"/>
  <c r="I18" i="3" s="1"/>
  <c r="I21" i="3" s="1"/>
  <c r="I33" i="3"/>
  <c r="H37" i="9"/>
  <c r="H38" i="9"/>
  <c r="H17" i="9"/>
  <c r="I34" i="3" l="1"/>
  <c r="I36" i="5"/>
  <c r="I47" i="6"/>
  <c r="I49" i="6" s="1"/>
  <c r="I51" i="6" s="1"/>
  <c r="I48" i="5"/>
  <c r="I20" i="21"/>
  <c r="I24" i="21" s="1"/>
  <c r="I24" i="5"/>
  <c r="J48" i="4"/>
  <c r="C48" i="4" s="1"/>
  <c r="L48" i="4"/>
  <c r="E48" i="4" s="1"/>
  <c r="E68" i="7"/>
  <c r="E17" i="7" s="1"/>
  <c r="H17" i="7" s="1"/>
  <c r="I8" i="21"/>
  <c r="H11" i="3"/>
  <c r="N24" i="4"/>
  <c r="G24" i="4" s="1"/>
  <c r="D6" i="4"/>
  <c r="C6" i="4" s="1"/>
  <c r="N33" i="4"/>
  <c r="G33" i="4" s="1"/>
  <c r="D15" i="4"/>
  <c r="C15" i="4" s="1"/>
  <c r="I12" i="5"/>
  <c r="I12" i="21" l="1"/>
  <c r="H68" i="7"/>
  <c r="H14" i="3"/>
  <c r="N25" i="4"/>
  <c r="G25" i="4" s="1"/>
  <c r="D7" i="4"/>
  <c r="C7" i="4" s="1"/>
  <c r="H59" i="9"/>
  <c r="H49" i="9"/>
  <c r="H39" i="9"/>
  <c r="H41" i="9" s="1"/>
  <c r="H31" i="9"/>
  <c r="I17" i="9"/>
  <c r="I31" i="9"/>
  <c r="I39" i="9"/>
  <c r="I40" i="9"/>
  <c r="I49" i="9"/>
  <c r="I59" i="9"/>
  <c r="O27" i="4"/>
  <c r="E9" i="4"/>
  <c r="F5" i="4"/>
  <c r="E5" i="4" s="1"/>
  <c r="G9" i="4"/>
  <c r="P44" i="22"/>
  <c r="I44" i="22" s="1"/>
  <c r="P41" i="22"/>
  <c r="I41" i="22" s="1"/>
  <c r="H18" i="3" l="1"/>
  <c r="D8" i="4"/>
  <c r="N26" i="4"/>
  <c r="G26" i="4" s="1"/>
  <c r="I32" i="9"/>
  <c r="D17" i="4"/>
  <c r="C17" i="4" s="1"/>
  <c r="N35" i="4"/>
  <c r="G35" i="4" s="1"/>
  <c r="H60" i="9"/>
  <c r="H61" i="9" s="1"/>
  <c r="D18" i="4"/>
  <c r="C18" i="4" s="1"/>
  <c r="N36" i="4"/>
  <c r="G36" i="4" s="1"/>
  <c r="D16" i="4"/>
  <c r="C16" i="4" s="1"/>
  <c r="N34" i="4"/>
  <c r="G34" i="4" s="1"/>
  <c r="H32" i="9"/>
  <c r="N37" i="4"/>
  <c r="G37" i="4" s="1"/>
  <c r="D19" i="4"/>
  <c r="C19" i="4" s="1"/>
  <c r="I41" i="9"/>
  <c r="I60" i="9"/>
  <c r="G67" i="7"/>
  <c r="P45" i="4"/>
  <c r="I45" i="4" s="1"/>
  <c r="D10" i="4" l="1"/>
  <c r="C10" i="4" s="1"/>
  <c r="C8" i="4"/>
  <c r="N28" i="4"/>
  <c r="G28" i="4" s="1"/>
  <c r="H21" i="3"/>
  <c r="D11" i="4"/>
  <c r="C11" i="4" s="1"/>
  <c r="N29" i="4"/>
  <c r="G29" i="4" s="1"/>
  <c r="D14" i="4"/>
  <c r="C14" i="4" s="1"/>
  <c r="N32" i="4"/>
  <c r="G32" i="4" s="1"/>
  <c r="I61" i="9"/>
  <c r="P37" i="4"/>
  <c r="I37" i="4" s="1"/>
  <c r="P36" i="4"/>
  <c r="I36" i="4" s="1"/>
  <c r="P34" i="4"/>
  <c r="I34" i="4" s="1"/>
  <c r="P33" i="4"/>
  <c r="I33" i="4" s="1"/>
  <c r="P32" i="4"/>
  <c r="I32" i="4" s="1"/>
  <c r="P30" i="4"/>
  <c r="I30" i="4" s="1"/>
  <c r="P29" i="4"/>
  <c r="I29" i="4" s="1"/>
  <c r="P26" i="4"/>
  <c r="I26" i="4" s="1"/>
  <c r="P25" i="4"/>
  <c r="I25" i="4" s="1"/>
  <c r="P24" i="4"/>
  <c r="I24" i="4" s="1"/>
  <c r="P23" i="4"/>
  <c r="I23" i="4" s="1"/>
  <c r="N42" i="4" l="1"/>
  <c r="G42" i="4" s="1"/>
  <c r="N41" i="4"/>
  <c r="G41" i="4" s="1"/>
  <c r="N43" i="4"/>
  <c r="G43" i="4" s="1"/>
  <c r="N44" i="4"/>
  <c r="G44" i="4" s="1"/>
  <c r="N30" i="4"/>
  <c r="D12" i="4"/>
  <c r="C12" i="4" s="1"/>
  <c r="H34" i="3"/>
  <c r="H36" i="3" s="1"/>
  <c r="H23" i="3"/>
  <c r="N47" i="4"/>
  <c r="G47" i="4" s="1"/>
  <c r="P28" i="4"/>
  <c r="I28" i="4" s="1"/>
  <c r="P48" i="22"/>
  <c r="I48" i="22" s="1"/>
  <c r="P47" i="22"/>
  <c r="I47" i="22" s="1"/>
  <c r="P45" i="22"/>
  <c r="I45" i="22" s="1"/>
  <c r="P43" i="22"/>
  <c r="I43" i="22" s="1"/>
  <c r="P42" i="22"/>
  <c r="I42" i="22" s="1"/>
  <c r="S23" i="22"/>
  <c r="S24" i="22"/>
  <c r="S25" i="22"/>
  <c r="S26" i="22"/>
  <c r="S27" i="22"/>
  <c r="R28" i="22"/>
  <c r="K28" i="22" s="1"/>
  <c r="S29" i="22"/>
  <c r="S30" i="22"/>
  <c r="S32" i="22"/>
  <c r="S33" i="22"/>
  <c r="S34" i="22"/>
  <c r="S35" i="22"/>
  <c r="S36" i="22"/>
  <c r="S37" i="22"/>
  <c r="N48" i="4" l="1"/>
  <c r="G48" i="4" s="1"/>
  <c r="G30" i="4"/>
  <c r="N46" i="4"/>
  <c r="G46" i="4" s="1"/>
  <c r="P46" i="22"/>
  <c r="I46" i="22" s="1"/>
  <c r="J8" i="5"/>
  <c r="J12" i="5" s="1"/>
  <c r="J20" i="5"/>
  <c r="J30" i="5"/>
  <c r="I30" i="21" s="1"/>
  <c r="I32" i="21" s="1"/>
  <c r="J42" i="5"/>
  <c r="I42" i="21" s="1"/>
  <c r="J43" i="5"/>
  <c r="I43" i="21" s="1"/>
  <c r="D67" i="7"/>
  <c r="F67" i="7"/>
  <c r="E67" i="7" s="1"/>
  <c r="J8" i="3"/>
  <c r="J11" i="3" s="1"/>
  <c r="J14" i="3" s="1"/>
  <c r="J18" i="3" s="1"/>
  <c r="J21" i="3" s="1"/>
  <c r="J33" i="3"/>
  <c r="P35" i="4"/>
  <c r="I35" i="4" s="1"/>
  <c r="Q27" i="4"/>
  <c r="J32" i="5" l="1"/>
  <c r="J36" i="5" s="1"/>
  <c r="I44" i="21"/>
  <c r="I48" i="21" s="1"/>
  <c r="J24" i="5"/>
  <c r="I36" i="21"/>
  <c r="J44" i="5"/>
  <c r="H67" i="7"/>
  <c r="J23" i="3"/>
  <c r="J34" i="3"/>
  <c r="J36" i="3" s="1"/>
  <c r="J48" i="5" l="1"/>
  <c r="R45" i="22"/>
  <c r="K45" i="22" s="1"/>
  <c r="R41" i="22"/>
  <c r="K41" i="22" s="1"/>
  <c r="J6" i="21" l="1"/>
  <c r="R45" i="4"/>
  <c r="K45" i="4" s="1"/>
  <c r="J48" i="6"/>
  <c r="J36" i="6"/>
  <c r="J7" i="6"/>
  <c r="J12" i="6"/>
  <c r="T41" i="22" l="1"/>
  <c r="M41" i="22" s="1"/>
  <c r="J31" i="21"/>
  <c r="J19" i="21"/>
  <c r="J18" i="21"/>
  <c r="J7" i="21"/>
  <c r="R23" i="4"/>
  <c r="K23" i="4" s="1"/>
  <c r="S27" i="4"/>
  <c r="G66" i="7"/>
  <c r="F66" i="7"/>
  <c r="J8" i="6"/>
  <c r="J24" i="6" s="1"/>
  <c r="J45" i="6"/>
  <c r="R26" i="4"/>
  <c r="K26" i="4" s="1"/>
  <c r="J38" i="9"/>
  <c r="J37" i="9"/>
  <c r="D66" i="7" s="1"/>
  <c r="J59" i="9"/>
  <c r="R37" i="4" s="1"/>
  <c r="K37" i="4" s="1"/>
  <c r="J49" i="9"/>
  <c r="R36" i="4" s="1"/>
  <c r="K36" i="4" s="1"/>
  <c r="J31" i="9"/>
  <c r="R34" i="4" s="1"/>
  <c r="K34" i="4" s="1"/>
  <c r="J17" i="9"/>
  <c r="R33" i="4" s="1"/>
  <c r="K33" i="4" s="1"/>
  <c r="T23" i="4"/>
  <c r="M23" i="4" s="1"/>
  <c r="U27" i="4"/>
  <c r="P41" i="4" l="1"/>
  <c r="I41" i="4" s="1"/>
  <c r="P44" i="4"/>
  <c r="I44" i="4" s="1"/>
  <c r="H66" i="7"/>
  <c r="R24" i="4"/>
  <c r="K24" i="4" s="1"/>
  <c r="R25" i="4"/>
  <c r="K25" i="4" s="1"/>
  <c r="R29" i="4"/>
  <c r="K29" i="4" s="1"/>
  <c r="R28" i="4"/>
  <c r="K28" i="4" s="1"/>
  <c r="R41" i="4"/>
  <c r="K41" i="4" s="1"/>
  <c r="J8" i="21"/>
  <c r="J20" i="21"/>
  <c r="J47" i="6"/>
  <c r="J49" i="6" s="1"/>
  <c r="J39" i="9"/>
  <c r="J41" i="9" s="1"/>
  <c r="R35" i="4" s="1"/>
  <c r="K35" i="4" s="1"/>
  <c r="J32" i="9"/>
  <c r="R32" i="4" s="1"/>
  <c r="K32" i="4" s="1"/>
  <c r="J60" i="9"/>
  <c r="J61" i="9" l="1"/>
  <c r="P43" i="4"/>
  <c r="I43" i="4" s="1"/>
  <c r="P47" i="4"/>
  <c r="I47" i="4" s="1"/>
  <c r="P42" i="4"/>
  <c r="I42" i="4" s="1"/>
  <c r="J24" i="21"/>
  <c r="J12" i="21"/>
  <c r="P46" i="4"/>
  <c r="I46" i="4" s="1"/>
  <c r="R30" i="4"/>
  <c r="K30" i="4" s="1"/>
  <c r="J51" i="6"/>
  <c r="P48" i="4" l="1"/>
  <c r="I48" i="4" s="1"/>
  <c r="R48" i="22"/>
  <c r="K48" i="22" s="1"/>
  <c r="R47" i="22"/>
  <c r="K47" i="22" s="1"/>
  <c r="R44" i="22"/>
  <c r="K44" i="22" s="1"/>
  <c r="R43" i="22"/>
  <c r="K43" i="22" s="1"/>
  <c r="R42" i="22"/>
  <c r="K42" i="22" s="1"/>
  <c r="T48" i="22" l="1"/>
  <c r="M48" i="22" s="1"/>
  <c r="U32" i="22"/>
  <c r="T28" i="22"/>
  <c r="R46" i="22" l="1"/>
  <c r="K46" i="22" s="1"/>
  <c r="M28" i="22"/>
  <c r="T45" i="4"/>
  <c r="M45" i="4" s="1"/>
  <c r="T41" i="4"/>
  <c r="M41" i="4" s="1"/>
  <c r="K11" i="6"/>
  <c r="T47" i="22" l="1"/>
  <c r="M47" i="22" s="1"/>
  <c r="T45" i="22"/>
  <c r="M45" i="22" s="1"/>
  <c r="T44" i="22"/>
  <c r="M44" i="22" s="1"/>
  <c r="T43" i="22"/>
  <c r="M43" i="22" s="1"/>
  <c r="T42" i="22"/>
  <c r="M42" i="22" s="1"/>
  <c r="U37" i="22"/>
  <c r="U36" i="22"/>
  <c r="U35" i="22"/>
  <c r="U34" i="22"/>
  <c r="U33" i="22"/>
  <c r="U30" i="22"/>
  <c r="U29" i="22"/>
  <c r="U27" i="22"/>
  <c r="U26" i="22"/>
  <c r="U25" i="22"/>
  <c r="U24" i="22"/>
  <c r="U23" i="22"/>
  <c r="K6" i="21"/>
  <c r="K41" i="21"/>
  <c r="K31" i="21"/>
  <c r="K29" i="21"/>
  <c r="K19" i="21"/>
  <c r="K18" i="21"/>
  <c r="K20" i="21" s="1"/>
  <c r="K17" i="21"/>
  <c r="K7" i="21"/>
  <c r="K43" i="5"/>
  <c r="K42" i="5"/>
  <c r="K30" i="5"/>
  <c r="K32" i="5" s="1"/>
  <c r="K41" i="5"/>
  <c r="K29" i="5"/>
  <c r="K20" i="5"/>
  <c r="K17" i="5"/>
  <c r="K8" i="5"/>
  <c r="V45" i="4"/>
  <c r="O45" i="4" s="1"/>
  <c r="K44" i="5" l="1"/>
  <c r="K8" i="21"/>
  <c r="K12" i="21" s="1"/>
  <c r="K30" i="21"/>
  <c r="K32" i="21" s="1"/>
  <c r="J30" i="21"/>
  <c r="J32" i="21" s="1"/>
  <c r="K42" i="21"/>
  <c r="J42" i="21"/>
  <c r="K48" i="5"/>
  <c r="K43" i="21"/>
  <c r="J43" i="21"/>
  <c r="K24" i="21"/>
  <c r="T46" i="22"/>
  <c r="M46" i="22" s="1"/>
  <c r="K36" i="5"/>
  <c r="K24" i="5"/>
  <c r="K12" i="5"/>
  <c r="G65" i="7"/>
  <c r="F65" i="7"/>
  <c r="K12" i="6"/>
  <c r="K45" i="6"/>
  <c r="K36" i="6"/>
  <c r="K33" i="3"/>
  <c r="K8" i="3"/>
  <c r="L8" i="3"/>
  <c r="L15" i="3"/>
  <c r="L33" i="3"/>
  <c r="K37" i="9"/>
  <c r="D65" i="7" s="1"/>
  <c r="K38" i="9"/>
  <c r="E65" i="7" l="1"/>
  <c r="H65" i="7" s="1"/>
  <c r="K36" i="21"/>
  <c r="L11" i="3"/>
  <c r="F6" i="4"/>
  <c r="E6" i="4"/>
  <c r="J44" i="21"/>
  <c r="J36" i="21"/>
  <c r="K44" i="21"/>
  <c r="K48" i="21" s="1"/>
  <c r="K11" i="3"/>
  <c r="T24" i="4"/>
  <c r="M24" i="4" s="1"/>
  <c r="K8" i="6"/>
  <c r="K24" i="6" s="1"/>
  <c r="K47" i="6" s="1"/>
  <c r="K49" i="6" s="1"/>
  <c r="K51" i="6" s="1"/>
  <c r="R42" i="4" l="1"/>
  <c r="K42" i="4" s="1"/>
  <c r="J48" i="21"/>
  <c r="L14" i="3"/>
  <c r="F7" i="4"/>
  <c r="E7" i="4" s="1"/>
  <c r="T42" i="4"/>
  <c r="M42" i="4" s="1"/>
  <c r="K14" i="3"/>
  <c r="T25" i="4"/>
  <c r="M25" i="4" s="1"/>
  <c r="R43" i="4" l="1"/>
  <c r="K43" i="4" s="1"/>
  <c r="F8" i="4"/>
  <c r="F10" i="4" s="1"/>
  <c r="L18" i="3"/>
  <c r="K18" i="3"/>
  <c r="T29" i="4" s="1"/>
  <c r="M29" i="4" s="1"/>
  <c r="T26" i="4"/>
  <c r="M26" i="4" s="1"/>
  <c r="T43" i="4"/>
  <c r="M43" i="4" s="1"/>
  <c r="K59" i="9"/>
  <c r="T37" i="4" s="1"/>
  <c r="M37" i="4" s="1"/>
  <c r="K49" i="9"/>
  <c r="T36" i="4" s="1"/>
  <c r="M36" i="4" s="1"/>
  <c r="K39" i="9"/>
  <c r="K41" i="9" s="1"/>
  <c r="T35" i="4" s="1"/>
  <c r="M35" i="4" s="1"/>
  <c r="K31" i="9"/>
  <c r="T34" i="4" s="1"/>
  <c r="M34" i="4" s="1"/>
  <c r="K17" i="9"/>
  <c r="T33" i="4" s="1"/>
  <c r="M33" i="4" s="1"/>
  <c r="F10" i="22"/>
  <c r="E10" i="22" s="1"/>
  <c r="R44" i="4" l="1"/>
  <c r="K44" i="4" s="1"/>
  <c r="R47" i="4"/>
  <c r="K47" i="4" s="1"/>
  <c r="L21" i="3"/>
  <c r="F11" i="4"/>
  <c r="E11" i="4" s="1"/>
  <c r="E10" i="4"/>
  <c r="E8" i="4"/>
  <c r="T28" i="4"/>
  <c r="M28" i="4" s="1"/>
  <c r="T44" i="4"/>
  <c r="M44" i="4" s="1"/>
  <c r="K21" i="3"/>
  <c r="K60" i="9"/>
  <c r="K61" i="9" s="1"/>
  <c r="K32" i="9"/>
  <c r="T32" i="4" s="1"/>
  <c r="M32" i="4" s="1"/>
  <c r="L6" i="21"/>
  <c r="L48" i="6"/>
  <c r="L14" i="6"/>
  <c r="AF57" i="9"/>
  <c r="AF58" i="9"/>
  <c r="AB57" i="9"/>
  <c r="AB58" i="9"/>
  <c r="AA57" i="9"/>
  <c r="AA58" i="9"/>
  <c r="X57" i="9"/>
  <c r="X58" i="9"/>
  <c r="W57" i="9"/>
  <c r="W58" i="9"/>
  <c r="T57" i="9"/>
  <c r="T58" i="9"/>
  <c r="S57" i="9"/>
  <c r="S58" i="9"/>
  <c r="R57" i="9"/>
  <c r="R58" i="9"/>
  <c r="P57" i="9"/>
  <c r="P58" i="9"/>
  <c r="O57" i="9"/>
  <c r="O58" i="9"/>
  <c r="N57" i="9"/>
  <c r="N58" i="9"/>
  <c r="M57" i="9"/>
  <c r="M58" i="9"/>
  <c r="L25" i="9"/>
  <c r="R46" i="4" l="1"/>
  <c r="K46" i="4" s="1"/>
  <c r="L23" i="3"/>
  <c r="F12" i="4"/>
  <c r="L34" i="3"/>
  <c r="L36" i="3" s="1"/>
  <c r="T47" i="4"/>
  <c r="M47" i="4" s="1"/>
  <c r="T30" i="4"/>
  <c r="M30" i="4" s="1"/>
  <c r="K34" i="3"/>
  <c r="K36" i="3" s="1"/>
  <c r="K23" i="3"/>
  <c r="T46" i="4"/>
  <c r="M46" i="4" s="1"/>
  <c r="L59" i="9"/>
  <c r="R48" i="4" l="1"/>
  <c r="K48" i="4" s="1"/>
  <c r="E12" i="4"/>
  <c r="F19" i="4"/>
  <c r="T48" i="4"/>
  <c r="M48" i="4" s="1"/>
  <c r="C16" i="7"/>
  <c r="C15" i="7"/>
  <c r="V24" i="22"/>
  <c r="O24" i="22" s="1"/>
  <c r="V25" i="22"/>
  <c r="O25" i="22" s="1"/>
  <c r="V26" i="22"/>
  <c r="O26" i="22" s="1"/>
  <c r="V27" i="22"/>
  <c r="O27" i="22" s="1"/>
  <c r="V29" i="22"/>
  <c r="O29" i="22" s="1"/>
  <c r="V30" i="22"/>
  <c r="O30" i="22" s="1"/>
  <c r="V32" i="22"/>
  <c r="O32" i="22" s="1"/>
  <c r="V33" i="22"/>
  <c r="O33" i="22" s="1"/>
  <c r="V34" i="22"/>
  <c r="O34" i="22" s="1"/>
  <c r="V35" i="22"/>
  <c r="O35" i="22" s="1"/>
  <c r="V36" i="22"/>
  <c r="O36" i="22" s="1"/>
  <c r="V37" i="22"/>
  <c r="O37" i="22" s="1"/>
  <c r="V23" i="22"/>
  <c r="O23" i="22" s="1"/>
  <c r="G19" i="22"/>
  <c r="G18" i="22"/>
  <c r="G17" i="22"/>
  <c r="G16" i="22"/>
  <c r="G15" i="22"/>
  <c r="G14" i="22"/>
  <c r="G12" i="22"/>
  <c r="G11" i="22"/>
  <c r="V28" i="22"/>
  <c r="O28" i="22" s="1"/>
  <c r="G9" i="22"/>
  <c r="G8" i="22"/>
  <c r="G7" i="22"/>
  <c r="G6" i="22"/>
  <c r="G5" i="22"/>
  <c r="I5" i="22"/>
  <c r="I6" i="22"/>
  <c r="I7" i="22"/>
  <c r="I8" i="22"/>
  <c r="I9" i="22"/>
  <c r="H10" i="22"/>
  <c r="I11" i="22"/>
  <c r="I12" i="22"/>
  <c r="I14" i="22"/>
  <c r="I15" i="22"/>
  <c r="I16" i="22"/>
  <c r="I17" i="22"/>
  <c r="I18" i="22"/>
  <c r="I19" i="22"/>
  <c r="V48" i="22" l="1"/>
  <c r="O48" i="22" s="1"/>
  <c r="V43" i="22"/>
  <c r="O43" i="22" s="1"/>
  <c r="V41" i="22"/>
  <c r="O41" i="22" s="1"/>
  <c r="V47" i="22"/>
  <c r="O47" i="22" s="1"/>
  <c r="V42" i="22"/>
  <c r="O42" i="22" s="1"/>
  <c r="V44" i="22"/>
  <c r="O44" i="22" s="1"/>
  <c r="E19" i="4"/>
  <c r="V45" i="22"/>
  <c r="O45" i="22" s="1"/>
  <c r="G10" i="22"/>
  <c r="L38" i="9" l="1"/>
  <c r="L37" i="9"/>
  <c r="D64" i="7" s="1"/>
  <c r="D16" i="7" s="1"/>
  <c r="G64" i="7"/>
  <c r="G16" i="7" s="1"/>
  <c r="F64" i="7"/>
  <c r="F16" i="7" s="1"/>
  <c r="W27" i="4"/>
  <c r="V30" i="4"/>
  <c r="O30" i="4" s="1"/>
  <c r="V29" i="4"/>
  <c r="O29" i="4" s="1"/>
  <c r="V26" i="4"/>
  <c r="O26" i="4" s="1"/>
  <c r="V25" i="4"/>
  <c r="O25" i="4" s="1"/>
  <c r="V24" i="4"/>
  <c r="O24" i="4" s="1"/>
  <c r="V23" i="4"/>
  <c r="O23" i="4" s="1"/>
  <c r="X23" i="4"/>
  <c r="Q23" i="4" s="1"/>
  <c r="E64" i="7" l="1"/>
  <c r="H64" i="7" s="1"/>
  <c r="V41" i="4"/>
  <c r="O41" i="4" s="1"/>
  <c r="V28" i="4"/>
  <c r="O28" i="4" s="1"/>
  <c r="E16" i="7" l="1"/>
  <c r="H16" i="7" s="1"/>
  <c r="L31" i="21"/>
  <c r="L19" i="21"/>
  <c r="L18" i="21"/>
  <c r="L7" i="21"/>
  <c r="L8" i="21" s="1"/>
  <c r="L43" i="5"/>
  <c r="L42" i="5"/>
  <c r="L30" i="5"/>
  <c r="L32" i="5" s="1"/>
  <c r="L20" i="5"/>
  <c r="L8" i="5"/>
  <c r="L32" i="6"/>
  <c r="L36" i="6" s="1"/>
  <c r="L12" i="6"/>
  <c r="L8" i="6" s="1"/>
  <c r="L24" i="6" s="1"/>
  <c r="L45" i="6"/>
  <c r="L31" i="9"/>
  <c r="L49" i="9"/>
  <c r="L39" i="9"/>
  <c r="L41" i="9" s="1"/>
  <c r="L17" i="9"/>
  <c r="F15" i="4" l="1"/>
  <c r="L60" i="9"/>
  <c r="L61" i="9" s="1"/>
  <c r="F18" i="4"/>
  <c r="F16" i="4"/>
  <c r="F17" i="4"/>
  <c r="L20" i="21"/>
  <c r="L12" i="21"/>
  <c r="V33" i="4"/>
  <c r="O33" i="4" s="1"/>
  <c r="V34" i="4"/>
  <c r="O34" i="4" s="1"/>
  <c r="V37" i="4"/>
  <c r="O37" i="4" s="1"/>
  <c r="V36" i="4"/>
  <c r="O36" i="4" s="1"/>
  <c r="V35" i="4"/>
  <c r="O35" i="4" s="1"/>
  <c r="L44" i="5"/>
  <c r="L36" i="5"/>
  <c r="L24" i="5"/>
  <c r="L12" i="5"/>
  <c r="L47" i="6"/>
  <c r="L49" i="6" s="1"/>
  <c r="L51" i="6" s="1"/>
  <c r="L32" i="9"/>
  <c r="L24" i="21" l="1"/>
  <c r="E16" i="4"/>
  <c r="F14" i="4"/>
  <c r="E17" i="4"/>
  <c r="E18" i="4"/>
  <c r="E15" i="4"/>
  <c r="L48" i="5"/>
  <c r="V32" i="4"/>
  <c r="O32" i="4" s="1"/>
  <c r="E14" i="4" l="1"/>
  <c r="X45" i="22"/>
  <c r="Q45" i="22" s="1"/>
  <c r="X41" i="22"/>
  <c r="Q41" i="22" s="1"/>
  <c r="X28" i="22"/>
  <c r="Q28" i="22" s="1"/>
  <c r="V46" i="22" l="1"/>
  <c r="O46" i="22" s="1"/>
  <c r="Y37" i="22"/>
  <c r="Y36" i="22"/>
  <c r="Y35" i="22"/>
  <c r="Y34" i="22"/>
  <c r="Y33" i="22"/>
  <c r="Y32" i="22"/>
  <c r="Y30" i="22"/>
  <c r="Y29" i="22"/>
  <c r="Y27" i="22"/>
  <c r="Y26" i="22"/>
  <c r="Y25" i="22"/>
  <c r="Y24" i="22"/>
  <c r="Y23" i="22"/>
  <c r="M43" i="5" l="1"/>
  <c r="L43" i="21" s="1"/>
  <c r="M42" i="5"/>
  <c r="L42" i="21" s="1"/>
  <c r="M19" i="6"/>
  <c r="M25" i="9"/>
  <c r="L44" i="21" l="1"/>
  <c r="L48" i="21" s="1"/>
  <c r="X45" i="4"/>
  <c r="Q45" i="4" s="1"/>
  <c r="Y27" i="4" l="1"/>
  <c r="X48" i="22"/>
  <c r="Q48" i="22" s="1"/>
  <c r="X47" i="22"/>
  <c r="Q47" i="22" s="1"/>
  <c r="X44" i="22"/>
  <c r="Q44" i="22" s="1"/>
  <c r="X43" i="22"/>
  <c r="Q43" i="22" s="1"/>
  <c r="X42" i="22"/>
  <c r="Q42" i="22" s="1"/>
  <c r="Z28" i="22"/>
  <c r="S28" i="22" s="1"/>
  <c r="X46" i="22" l="1"/>
  <c r="Q46" i="22" s="1"/>
  <c r="M31" i="21"/>
  <c r="M19" i="21"/>
  <c r="M18" i="21"/>
  <c r="M7" i="21"/>
  <c r="M6" i="21"/>
  <c r="M30" i="5"/>
  <c r="L30" i="21" s="1"/>
  <c r="L32" i="21" s="1"/>
  <c r="M44" i="5"/>
  <c r="M32" i="5"/>
  <c r="M20" i="5"/>
  <c r="M8" i="5"/>
  <c r="G63" i="7"/>
  <c r="F63" i="7"/>
  <c r="M45" i="6"/>
  <c r="M32" i="6"/>
  <c r="M36" i="6" s="1"/>
  <c r="M12" i="6"/>
  <c r="M8" i="6" s="1"/>
  <c r="M24" i="6" s="1"/>
  <c r="M33" i="3"/>
  <c r="M8" i="3"/>
  <c r="X24" i="4" s="1"/>
  <c r="M38" i="9"/>
  <c r="M37" i="9"/>
  <c r="E63" i="7" l="1"/>
  <c r="M36" i="5"/>
  <c r="V42" i="4"/>
  <c r="O42" i="4" s="1"/>
  <c r="Q24" i="4"/>
  <c r="L36" i="21"/>
  <c r="M47" i="6"/>
  <c r="M49" i="6" s="1"/>
  <c r="M51" i="6" s="1"/>
  <c r="M39" i="9"/>
  <c r="M20" i="21"/>
  <c r="D63" i="7"/>
  <c r="H63" i="7" s="1"/>
  <c r="M11" i="3"/>
  <c r="X25" i="4" s="1"/>
  <c r="M48" i="5"/>
  <c r="M8" i="21"/>
  <c r="M24" i="5"/>
  <c r="M12" i="5"/>
  <c r="M24" i="21" l="1"/>
  <c r="V43" i="4"/>
  <c r="O43" i="4" s="1"/>
  <c r="Q25" i="4"/>
  <c r="M12" i="21"/>
  <c r="M14" i="3"/>
  <c r="X26" i="4" s="1"/>
  <c r="M59" i="9"/>
  <c r="X37" i="4" s="1"/>
  <c r="Q37" i="4" s="1"/>
  <c r="M49" i="9"/>
  <c r="X36" i="4" s="1"/>
  <c r="Q36" i="4" s="1"/>
  <c r="M41" i="9"/>
  <c r="X35" i="4" s="1"/>
  <c r="Q35" i="4" s="1"/>
  <c r="M31" i="9"/>
  <c r="X34" i="4" s="1"/>
  <c r="Q34" i="4" s="1"/>
  <c r="M17" i="9"/>
  <c r="X33" i="4" s="1"/>
  <c r="Q33" i="4" s="1"/>
  <c r="I9" i="4"/>
  <c r="AA27" i="4"/>
  <c r="Z47" i="22"/>
  <c r="S47" i="22" s="1"/>
  <c r="Z45" i="22"/>
  <c r="S45" i="22" s="1"/>
  <c r="AB28" i="22"/>
  <c r="Z44" i="22"/>
  <c r="S44" i="22" s="1"/>
  <c r="V44" i="4" l="1"/>
  <c r="O44" i="4" s="1"/>
  <c r="Q26" i="4"/>
  <c r="Z46" i="22"/>
  <c r="S46" i="22" s="1"/>
  <c r="U28" i="22"/>
  <c r="M18" i="3"/>
  <c r="X29" i="4" s="1"/>
  <c r="X28" i="4"/>
  <c r="M60" i="9"/>
  <c r="M61" i="9" s="1"/>
  <c r="M32" i="9"/>
  <c r="X32" i="4" s="1"/>
  <c r="Q32" i="4" s="1"/>
  <c r="N6" i="21"/>
  <c r="N48" i="6"/>
  <c r="N45" i="6"/>
  <c r="N29" i="9"/>
  <c r="Z45" i="4"/>
  <c r="S45" i="4" s="1"/>
  <c r="V46" i="4" l="1"/>
  <c r="O46" i="4" s="1"/>
  <c r="Q28" i="4"/>
  <c r="V47" i="4"/>
  <c r="O47" i="4" s="1"/>
  <c r="Q29" i="4"/>
  <c r="M21" i="3"/>
  <c r="X30" i="4" s="1"/>
  <c r="Z41" i="22"/>
  <c r="S41" i="22" s="1"/>
  <c r="Z48" i="22"/>
  <c r="S48" i="22" s="1"/>
  <c r="Z43" i="22"/>
  <c r="S43" i="22" s="1"/>
  <c r="Z42" i="22"/>
  <c r="S42" i="22" s="1"/>
  <c r="AA37" i="22"/>
  <c r="AA36" i="22"/>
  <c r="AA35" i="22"/>
  <c r="AA34" i="22"/>
  <c r="AA33" i="22"/>
  <c r="AA32" i="22"/>
  <c r="AA30" i="22"/>
  <c r="AA29" i="22"/>
  <c r="AA27" i="22"/>
  <c r="AA26" i="22"/>
  <c r="AA25" i="22"/>
  <c r="AA24" i="22"/>
  <c r="AA23" i="22"/>
  <c r="V48" i="4" l="1"/>
  <c r="O48" i="4" s="1"/>
  <c r="Q30" i="4"/>
  <c r="M34" i="3"/>
  <c r="M36" i="3" s="1"/>
  <c r="Z23" i="4"/>
  <c r="S23" i="4" s="1"/>
  <c r="AB23" i="4"/>
  <c r="AC27" i="4"/>
  <c r="U23" i="4" l="1"/>
  <c r="AB41" i="4"/>
  <c r="U41" i="4" s="1"/>
  <c r="Z41" i="4"/>
  <c r="S41" i="4" s="1"/>
  <c r="X41" i="4"/>
  <c r="Q41" i="4" s="1"/>
  <c r="N31" i="21"/>
  <c r="N19" i="21"/>
  <c r="N18" i="21"/>
  <c r="N7" i="21"/>
  <c r="N8" i="21" s="1"/>
  <c r="N43" i="5"/>
  <c r="M43" i="21" s="1"/>
  <c r="N42" i="5"/>
  <c r="M42" i="21" s="1"/>
  <c r="N30" i="5"/>
  <c r="N20" i="5"/>
  <c r="N8" i="5"/>
  <c r="G62" i="7"/>
  <c r="F62" i="7"/>
  <c r="N32" i="6"/>
  <c r="N36" i="6" s="1"/>
  <c r="N12" i="6"/>
  <c r="N8" i="6" s="1"/>
  <c r="N24" i="6" s="1"/>
  <c r="N33" i="3"/>
  <c r="N8" i="3"/>
  <c r="N38" i="9"/>
  <c r="N37" i="9"/>
  <c r="M44" i="21" l="1"/>
  <c r="M48" i="21" s="1"/>
  <c r="N47" i="6"/>
  <c r="N20" i="21"/>
  <c r="N32" i="5"/>
  <c r="M30" i="21"/>
  <c r="M32" i="21" s="1"/>
  <c r="N39" i="9"/>
  <c r="D62" i="7"/>
  <c r="N12" i="21"/>
  <c r="E62" i="7"/>
  <c r="N11" i="3"/>
  <c r="Z24" i="4"/>
  <c r="S24" i="4" s="1"/>
  <c r="N44" i="5"/>
  <c r="N24" i="5"/>
  <c r="N12" i="5"/>
  <c r="N49" i="6"/>
  <c r="N51" i="6" s="1"/>
  <c r="N48" i="5" l="1"/>
  <c r="N24" i="21"/>
  <c r="N36" i="5"/>
  <c r="X42" i="4"/>
  <c r="Q42" i="4" s="1"/>
  <c r="M36" i="21"/>
  <c r="H62" i="7"/>
  <c r="N14" i="3"/>
  <c r="Z25" i="4"/>
  <c r="S25" i="4" s="1"/>
  <c r="N59" i="9"/>
  <c r="Z37" i="4" s="1"/>
  <c r="S37" i="4" s="1"/>
  <c r="N49" i="9"/>
  <c r="N41" i="9"/>
  <c r="Z35" i="4" s="1"/>
  <c r="S35" i="4" s="1"/>
  <c r="N31" i="9"/>
  <c r="Z34" i="4" s="1"/>
  <c r="S34" i="4" s="1"/>
  <c r="N17" i="9"/>
  <c r="O17" i="9"/>
  <c r="AB33" i="4" s="1"/>
  <c r="U33" i="4" s="1"/>
  <c r="O31" i="9"/>
  <c r="O37" i="9"/>
  <c r="O38" i="9"/>
  <c r="O40" i="9"/>
  <c r="O49" i="9"/>
  <c r="AB36" i="4" s="1"/>
  <c r="U36" i="4" s="1"/>
  <c r="O59" i="9"/>
  <c r="AC37" i="22"/>
  <c r="AC36" i="22"/>
  <c r="AC35" i="22"/>
  <c r="AC34" i="22"/>
  <c r="AC33" i="22"/>
  <c r="AC32" i="22"/>
  <c r="AC30" i="22"/>
  <c r="AC29" i="22"/>
  <c r="AC27" i="22"/>
  <c r="AC26" i="22"/>
  <c r="AC25" i="22"/>
  <c r="AC24" i="22"/>
  <c r="AC23" i="22"/>
  <c r="X43" i="4" l="1"/>
  <c r="Q43" i="4" s="1"/>
  <c r="N18" i="3"/>
  <c r="Z26" i="4"/>
  <c r="S26" i="4" s="1"/>
  <c r="O60" i="9"/>
  <c r="AB37" i="4"/>
  <c r="U37" i="4" s="1"/>
  <c r="O32" i="9"/>
  <c r="AB32" i="4" s="1"/>
  <c r="U32" i="4" s="1"/>
  <c r="AB34" i="4"/>
  <c r="U34" i="4" s="1"/>
  <c r="N60" i="9"/>
  <c r="N61" i="9" s="1"/>
  <c r="Z36" i="4"/>
  <c r="S36" i="4" s="1"/>
  <c r="N32" i="9"/>
  <c r="Z32" i="4" s="1"/>
  <c r="S32" i="4" s="1"/>
  <c r="Z33" i="4"/>
  <c r="S33" i="4" s="1"/>
  <c r="O39" i="9"/>
  <c r="O41" i="9" s="1"/>
  <c r="AB35" i="4" s="1"/>
  <c r="U35" i="4" s="1"/>
  <c r="O48" i="6"/>
  <c r="AB45" i="4"/>
  <c r="U45" i="4" s="1"/>
  <c r="X44" i="4" l="1"/>
  <c r="Q44" i="4" s="1"/>
  <c r="Z28" i="4"/>
  <c r="S28" i="4" s="1"/>
  <c r="N21" i="3"/>
  <c r="Z29" i="4"/>
  <c r="S29" i="4" s="1"/>
  <c r="O61" i="9"/>
  <c r="AJ23" i="4"/>
  <c r="AB45" i="22"/>
  <c r="U45" i="22" s="1"/>
  <c r="AB48" i="22"/>
  <c r="U48" i="22" s="1"/>
  <c r="AB47" i="22"/>
  <c r="U47" i="22" s="1"/>
  <c r="AB44" i="22"/>
  <c r="U44" i="22" s="1"/>
  <c r="AB43" i="22"/>
  <c r="U43" i="22" s="1"/>
  <c r="AB42" i="22"/>
  <c r="U42" i="22" s="1"/>
  <c r="AB41" i="22"/>
  <c r="U41" i="22" s="1"/>
  <c r="X46" i="4" l="1"/>
  <c r="Q46" i="4" s="1"/>
  <c r="X47" i="4"/>
  <c r="Q47" i="4" s="1"/>
  <c r="Z30" i="4"/>
  <c r="S30" i="4" s="1"/>
  <c r="N34" i="3"/>
  <c r="N36" i="3" s="1"/>
  <c r="N23" i="3"/>
  <c r="AJ41" i="4"/>
  <c r="AC41" i="4" s="1"/>
  <c r="AC23" i="4"/>
  <c r="AB46" i="22"/>
  <c r="U46" i="22" s="1"/>
  <c r="X48" i="4" l="1"/>
  <c r="Q48" i="4" s="1"/>
  <c r="O41" i="21"/>
  <c r="O31" i="21"/>
  <c r="O29" i="21"/>
  <c r="O19" i="21"/>
  <c r="O18" i="21"/>
  <c r="O17" i="21"/>
  <c r="O7" i="21"/>
  <c r="O6" i="21"/>
  <c r="O43" i="5"/>
  <c r="N43" i="21" s="1"/>
  <c r="O42" i="5"/>
  <c r="O30" i="5"/>
  <c r="O41" i="5"/>
  <c r="O29" i="5"/>
  <c r="O20" i="5"/>
  <c r="O17" i="5"/>
  <c r="O8" i="5"/>
  <c r="G61" i="7"/>
  <c r="D61" i="7"/>
  <c r="F61" i="7"/>
  <c r="E61" i="7" s="1"/>
  <c r="O44" i="6"/>
  <c r="O45" i="6" s="1"/>
  <c r="O19" i="6"/>
  <c r="O36" i="6"/>
  <c r="O33" i="3"/>
  <c r="O8" i="3"/>
  <c r="AB24" i="4" s="1"/>
  <c r="U24" i="4" s="1"/>
  <c r="Z42" i="4" l="1"/>
  <c r="S42" i="4" s="1"/>
  <c r="O20" i="21"/>
  <c r="O32" i="5"/>
  <c r="N30" i="21"/>
  <c r="N32" i="21" s="1"/>
  <c r="O42" i="21"/>
  <c r="N42" i="21"/>
  <c r="N44" i="21" s="1"/>
  <c r="O43" i="21"/>
  <c r="O8" i="6"/>
  <c r="O24" i="6" s="1"/>
  <c r="O47" i="6" s="1"/>
  <c r="O49" i="6" s="1"/>
  <c r="O51" i="6" s="1"/>
  <c r="O8" i="21"/>
  <c r="O30" i="21"/>
  <c r="O32" i="21" s="1"/>
  <c r="O11" i="3"/>
  <c r="AB25" i="4" s="1"/>
  <c r="U25" i="4" s="1"/>
  <c r="O44" i="5"/>
  <c r="O24" i="5"/>
  <c r="O12" i="5"/>
  <c r="H61" i="7"/>
  <c r="O36" i="21" l="1"/>
  <c r="Z43" i="4"/>
  <c r="S43" i="4" s="1"/>
  <c r="O36" i="5"/>
  <c r="O12" i="21"/>
  <c r="O24" i="21"/>
  <c r="N48" i="21"/>
  <c r="N36" i="21"/>
  <c r="O44" i="21"/>
  <c r="AB42" i="4"/>
  <c r="U42" i="4" s="1"/>
  <c r="O14" i="3"/>
  <c r="AB26" i="4" s="1"/>
  <c r="U26" i="4" s="1"/>
  <c r="O48" i="5"/>
  <c r="O48" i="21" l="1"/>
  <c r="AB28" i="4"/>
  <c r="U28" i="4" s="1"/>
  <c r="Z44" i="4"/>
  <c r="S44" i="4" s="1"/>
  <c r="AB43" i="4"/>
  <c r="U43" i="4" s="1"/>
  <c r="O18" i="3"/>
  <c r="AB29" i="4" s="1"/>
  <c r="U29" i="4" s="1"/>
  <c r="AD45" i="4"/>
  <c r="W45" i="4" s="1"/>
  <c r="P7" i="21"/>
  <c r="P6" i="21"/>
  <c r="Z46" i="4" l="1"/>
  <c r="S46" i="4" s="1"/>
  <c r="Z47" i="4"/>
  <c r="S47" i="4" s="1"/>
  <c r="P8" i="21"/>
  <c r="O21" i="3"/>
  <c r="AB30" i="4" s="1"/>
  <c r="U30" i="4" s="1"/>
  <c r="AB44" i="4"/>
  <c r="U44" i="4" s="1"/>
  <c r="P25" i="9"/>
  <c r="P48" i="6"/>
  <c r="Z48" i="4" l="1"/>
  <c r="S48" i="4" s="1"/>
  <c r="AB47" i="4"/>
  <c r="U47" i="4" s="1"/>
  <c r="AB46" i="4"/>
  <c r="U46" i="4" s="1"/>
  <c r="O34" i="3"/>
  <c r="O36" i="3" s="1"/>
  <c r="O23" i="3"/>
  <c r="AD27" i="22"/>
  <c r="W27" i="22" s="1"/>
  <c r="AD23" i="22"/>
  <c r="W23" i="22" s="1"/>
  <c r="AD41" i="22" l="1"/>
  <c r="W41" i="22" s="1"/>
  <c r="AE27" i="22"/>
  <c r="AB48" i="4"/>
  <c r="U48" i="4" s="1"/>
  <c r="AD45" i="22"/>
  <c r="W45" i="22" s="1"/>
  <c r="AD33" i="22"/>
  <c r="W33" i="22" s="1"/>
  <c r="AD34" i="22"/>
  <c r="W34" i="22" s="1"/>
  <c r="AD35" i="22"/>
  <c r="W35" i="22" s="1"/>
  <c r="AD36" i="22"/>
  <c r="W36" i="22" s="1"/>
  <c r="AD37" i="22"/>
  <c r="W37" i="22" s="1"/>
  <c r="AD32" i="22"/>
  <c r="W32" i="22" s="1"/>
  <c r="AD30" i="22"/>
  <c r="W30" i="22" s="1"/>
  <c r="AD29" i="22"/>
  <c r="W29" i="22" s="1"/>
  <c r="AD24" i="22"/>
  <c r="W24" i="22" s="1"/>
  <c r="AD25" i="22"/>
  <c r="W25" i="22" s="1"/>
  <c r="AD26" i="22"/>
  <c r="W26" i="22" s="1"/>
  <c r="AL23" i="22"/>
  <c r="AD43" i="22" l="1"/>
  <c r="W43" i="22" s="1"/>
  <c r="AD42" i="22"/>
  <c r="W42" i="22" s="1"/>
  <c r="AD47" i="22"/>
  <c r="W47" i="22" s="1"/>
  <c r="AD44" i="22"/>
  <c r="W44" i="22" s="1"/>
  <c r="AD48" i="22"/>
  <c r="W48" i="22" s="1"/>
  <c r="AD28" i="22"/>
  <c r="W28" i="22" s="1"/>
  <c r="AD23" i="4"/>
  <c r="W23" i="4" s="1"/>
  <c r="H5" i="4"/>
  <c r="G5" i="4" s="1"/>
  <c r="AG23" i="22"/>
  <c r="AG24" i="22"/>
  <c r="AG25" i="22"/>
  <c r="AG26" i="22"/>
  <c r="AG27" i="22"/>
  <c r="AF28" i="22"/>
  <c r="Y28" i="22" s="1"/>
  <c r="AG29" i="22"/>
  <c r="AG30" i="22"/>
  <c r="AG32" i="22"/>
  <c r="AG33" i="22"/>
  <c r="AG34" i="22"/>
  <c r="AG35" i="22"/>
  <c r="AG36" i="22"/>
  <c r="AG37" i="22"/>
  <c r="K5" i="22"/>
  <c r="K6" i="22"/>
  <c r="K7" i="22"/>
  <c r="K8" i="22"/>
  <c r="K9" i="22"/>
  <c r="J10" i="22"/>
  <c r="I10" i="22" s="1"/>
  <c r="K11" i="22"/>
  <c r="K12" i="22"/>
  <c r="K14" i="22"/>
  <c r="K15" i="22"/>
  <c r="K16" i="22"/>
  <c r="K17" i="22"/>
  <c r="K18" i="22"/>
  <c r="K19" i="22"/>
  <c r="P31" i="21"/>
  <c r="P19" i="21"/>
  <c r="P18" i="21"/>
  <c r="P12" i="21"/>
  <c r="P43" i="5"/>
  <c r="P42" i="5"/>
  <c r="P30" i="5"/>
  <c r="P32" i="5" s="1"/>
  <c r="P20" i="5"/>
  <c r="P8" i="5"/>
  <c r="Q8" i="5"/>
  <c r="Q20" i="5"/>
  <c r="Q30" i="5"/>
  <c r="Q32" i="5" s="1"/>
  <c r="Q42" i="5"/>
  <c r="Q43" i="5"/>
  <c r="G60" i="7"/>
  <c r="G15" i="7" s="1"/>
  <c r="F60" i="7"/>
  <c r="P32" i="6"/>
  <c r="P36" i="6" s="1"/>
  <c r="P12" i="6"/>
  <c r="P45" i="6"/>
  <c r="P24" i="6"/>
  <c r="P33" i="3"/>
  <c r="P8" i="3"/>
  <c r="P37" i="9"/>
  <c r="D60" i="7" s="1"/>
  <c r="D15" i="7" s="1"/>
  <c r="P38" i="9"/>
  <c r="P44" i="5" l="1"/>
  <c r="F15" i="7"/>
  <c r="E60" i="7"/>
  <c r="E15" i="7" s="1"/>
  <c r="H15" i="7" s="1"/>
  <c r="P20" i="21"/>
  <c r="P11" i="3"/>
  <c r="H7" i="4" s="1"/>
  <c r="G7" i="4" s="1"/>
  <c r="P43" i="21"/>
  <c r="AD46" i="22"/>
  <c r="W46" i="22" s="1"/>
  <c r="P30" i="21"/>
  <c r="P32" i="21" s="1"/>
  <c r="Q12" i="5"/>
  <c r="P42" i="21"/>
  <c r="Q24" i="5"/>
  <c r="P48" i="5"/>
  <c r="H6" i="4"/>
  <c r="G6" i="4" s="1"/>
  <c r="AD24" i="4"/>
  <c r="W24" i="4" s="1"/>
  <c r="P24" i="5"/>
  <c r="P12" i="5"/>
  <c r="P36" i="5"/>
  <c r="Q36" i="5"/>
  <c r="Q44" i="5"/>
  <c r="P47" i="6"/>
  <c r="P49" i="6" s="1"/>
  <c r="P51" i="6" s="1"/>
  <c r="P44" i="21" l="1"/>
  <c r="P48" i="21" s="1"/>
  <c r="P24" i="21"/>
  <c r="H60" i="7"/>
  <c r="AD25" i="4"/>
  <c r="W25" i="4" s="1"/>
  <c r="P14" i="3"/>
  <c r="Q48" i="5"/>
  <c r="P36" i="21"/>
  <c r="P59" i="9"/>
  <c r="P49" i="9"/>
  <c r="P39" i="9"/>
  <c r="P41" i="9" s="1"/>
  <c r="P31" i="9"/>
  <c r="P17" i="9"/>
  <c r="AE27" i="4"/>
  <c r="J5" i="4"/>
  <c r="I5" i="4" s="1"/>
  <c r="K9" i="4"/>
  <c r="AD26" i="4" l="1"/>
  <c r="H8" i="4"/>
  <c r="G8" i="4" s="1"/>
  <c r="P18" i="3"/>
  <c r="H17" i="4"/>
  <c r="G17" i="4" s="1"/>
  <c r="AD35" i="4"/>
  <c r="W35" i="4" s="1"/>
  <c r="AD36" i="4"/>
  <c r="W36" i="4" s="1"/>
  <c r="H18" i="4"/>
  <c r="G18" i="4" s="1"/>
  <c r="P32" i="9"/>
  <c r="H14" i="4" s="1"/>
  <c r="G14" i="4" s="1"/>
  <c r="H15" i="4"/>
  <c r="G15" i="4" s="1"/>
  <c r="AD33" i="4"/>
  <c r="W33" i="4" s="1"/>
  <c r="AD37" i="4"/>
  <c r="W37" i="4" s="1"/>
  <c r="H19" i="4"/>
  <c r="G19" i="4" s="1"/>
  <c r="H16" i="4"/>
  <c r="G16" i="4" s="1"/>
  <c r="AD34" i="4"/>
  <c r="W34" i="4" s="1"/>
  <c r="P60" i="9"/>
  <c r="P61" i="9" s="1"/>
  <c r="AF48" i="22"/>
  <c r="Y48" i="22" s="1"/>
  <c r="AF47" i="22"/>
  <c r="Y47" i="22" s="1"/>
  <c r="AF45" i="22"/>
  <c r="Y45" i="22" s="1"/>
  <c r="AF44" i="22"/>
  <c r="Y44" i="22" s="1"/>
  <c r="AF43" i="22"/>
  <c r="Y43" i="22" s="1"/>
  <c r="AF42" i="22"/>
  <c r="Y42" i="22" s="1"/>
  <c r="AF41" i="22"/>
  <c r="Y41" i="22" s="1"/>
  <c r="AD28" i="4" l="1"/>
  <c r="W28" i="4" s="1"/>
  <c r="W26" i="4"/>
  <c r="P21" i="3"/>
  <c r="AD29" i="4"/>
  <c r="W29" i="4" s="1"/>
  <c r="H11" i="4"/>
  <c r="G11" i="4" s="1"/>
  <c r="H10" i="4"/>
  <c r="G10" i="4" s="1"/>
  <c r="AD32" i="4"/>
  <c r="W32" i="4" s="1"/>
  <c r="Q19" i="21"/>
  <c r="Q18" i="21"/>
  <c r="Q6" i="21"/>
  <c r="H12" i="4" l="1"/>
  <c r="G12" i="4" s="1"/>
  <c r="AD30" i="4"/>
  <c r="W30" i="4" s="1"/>
  <c r="P34" i="3"/>
  <c r="P36" i="3" s="1"/>
  <c r="P23" i="3"/>
  <c r="Q20" i="21"/>
  <c r="F59" i="7"/>
  <c r="Q20" i="3"/>
  <c r="AF45" i="4"/>
  <c r="Y45" i="4" s="1"/>
  <c r="Q56" i="9"/>
  <c r="AF23" i="4" l="1"/>
  <c r="AG27" i="4"/>
  <c r="AD41" i="4" l="1"/>
  <c r="W41" i="4" s="1"/>
  <c r="Y23" i="4"/>
  <c r="Q31" i="21"/>
  <c r="Q24" i="21"/>
  <c r="Q7" i="21"/>
  <c r="Q8" i="21" s="1"/>
  <c r="R6" i="21"/>
  <c r="R7" i="21"/>
  <c r="R18" i="21"/>
  <c r="R19" i="21"/>
  <c r="R31" i="21"/>
  <c r="G59" i="7"/>
  <c r="Q12" i="6"/>
  <c r="Q8" i="6" s="1"/>
  <c r="Q24" i="6" s="1"/>
  <c r="Q45" i="6"/>
  <c r="Q36" i="6"/>
  <c r="Q31" i="3"/>
  <c r="Q33" i="3" s="1"/>
  <c r="Q8" i="3"/>
  <c r="Q38" i="9"/>
  <c r="Q37" i="9"/>
  <c r="D59" i="7" s="1"/>
  <c r="Q59" i="9"/>
  <c r="Q49" i="9"/>
  <c r="AF36" i="4" s="1"/>
  <c r="Y36" i="4" s="1"/>
  <c r="Q31" i="9"/>
  <c r="Q17" i="9"/>
  <c r="AF33" i="4" s="1"/>
  <c r="Y33" i="4" s="1"/>
  <c r="AH23" i="4"/>
  <c r="AA23" i="4" s="1"/>
  <c r="AI27" i="4"/>
  <c r="Q47" i="6" l="1"/>
  <c r="Q49" i="6" s="1"/>
  <c r="Q51" i="6" s="1"/>
  <c r="AF41" i="4"/>
  <c r="Y41" i="4" s="1"/>
  <c r="R20" i="21"/>
  <c r="Q12" i="21"/>
  <c r="Q11" i="3"/>
  <c r="AF24" i="4"/>
  <c r="Q32" i="9"/>
  <c r="AF32" i="4" s="1"/>
  <c r="Y32" i="4" s="1"/>
  <c r="AF34" i="4"/>
  <c r="Y34" i="4" s="1"/>
  <c r="Q60" i="9"/>
  <c r="AF37" i="4"/>
  <c r="Y37" i="4" s="1"/>
  <c r="R8" i="21"/>
  <c r="H59" i="7"/>
  <c r="Q39" i="9"/>
  <c r="Q41" i="9" s="1"/>
  <c r="AF35" i="4" s="1"/>
  <c r="Y35" i="4" s="1"/>
  <c r="R24" i="21" l="1"/>
  <c r="R12" i="21"/>
  <c r="AD42" i="4"/>
  <c r="W42" i="4" s="1"/>
  <c r="Y24" i="4"/>
  <c r="Q14" i="3"/>
  <c r="AF25" i="4"/>
  <c r="Q61" i="9"/>
  <c r="AD43" i="4" l="1"/>
  <c r="W43" i="4" s="1"/>
  <c r="Y25" i="4"/>
  <c r="Q18" i="3"/>
  <c r="AF26" i="4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14" i="7"/>
  <c r="E13" i="7"/>
  <c r="E12" i="7"/>
  <c r="E11" i="7"/>
  <c r="E10" i="7"/>
  <c r="H10" i="7" s="1"/>
  <c r="E9" i="7"/>
  <c r="H9" i="7" s="1"/>
  <c r="E8" i="7"/>
  <c r="H8" i="7" s="1"/>
  <c r="E7" i="7"/>
  <c r="H7" i="7" s="1"/>
  <c r="E6" i="7"/>
  <c r="H6" i="7" s="1"/>
  <c r="F54" i="7"/>
  <c r="F55" i="7"/>
  <c r="F56" i="7"/>
  <c r="F57" i="7"/>
  <c r="F58" i="7"/>
  <c r="F53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21" i="7"/>
  <c r="C14" i="7"/>
  <c r="D13" i="7"/>
  <c r="C13" i="7"/>
  <c r="C12" i="7"/>
  <c r="C11" i="7"/>
  <c r="AD44" i="4" l="1"/>
  <c r="W44" i="4" s="1"/>
  <c r="Y26" i="4"/>
  <c r="AF28" i="4"/>
  <c r="Q21" i="3"/>
  <c r="AF29" i="4"/>
  <c r="AI30" i="22"/>
  <c r="AI29" i="22"/>
  <c r="AI27" i="22"/>
  <c r="AI26" i="22"/>
  <c r="AI25" i="22"/>
  <c r="AI24" i="22"/>
  <c r="AI23" i="22"/>
  <c r="AI37" i="22"/>
  <c r="AI36" i="22"/>
  <c r="AI35" i="22"/>
  <c r="AI34" i="22"/>
  <c r="AI33" i="22"/>
  <c r="AI32" i="22"/>
  <c r="AH48" i="22"/>
  <c r="AA48" i="22" s="1"/>
  <c r="AH47" i="22"/>
  <c r="AA47" i="22" s="1"/>
  <c r="AH45" i="22"/>
  <c r="AA45" i="22" s="1"/>
  <c r="AH44" i="22"/>
  <c r="AA44" i="22" s="1"/>
  <c r="AH43" i="22"/>
  <c r="AA43" i="22" s="1"/>
  <c r="AH42" i="22"/>
  <c r="AA42" i="22" s="1"/>
  <c r="AH41" i="22"/>
  <c r="AA41" i="22" s="1"/>
  <c r="AJ41" i="22"/>
  <c r="AC41" i="22" s="1"/>
  <c r="AH28" i="22"/>
  <c r="AD46" i="4" l="1"/>
  <c r="W46" i="4" s="1"/>
  <c r="Y28" i="4"/>
  <c r="AD47" i="4"/>
  <c r="W47" i="4" s="1"/>
  <c r="Y29" i="4"/>
  <c r="AF46" i="22"/>
  <c r="Y46" i="22" s="1"/>
  <c r="AA28" i="22"/>
  <c r="AF30" i="4"/>
  <c r="Q34" i="3"/>
  <c r="Q36" i="3" s="1"/>
  <c r="R7" i="6"/>
  <c r="AD48" i="4" l="1"/>
  <c r="W48" i="4" s="1"/>
  <c r="Y30" i="4"/>
  <c r="AH45" i="4"/>
  <c r="AA45" i="4" s="1"/>
  <c r="D58" i="7" l="1"/>
  <c r="AJ45" i="4" l="1"/>
  <c r="AC45" i="4" s="1"/>
  <c r="R43" i="5"/>
  <c r="R42" i="5"/>
  <c r="R30" i="5"/>
  <c r="R20" i="5"/>
  <c r="R8" i="5"/>
  <c r="R12" i="6"/>
  <c r="R8" i="6" s="1"/>
  <c r="R24" i="6" s="1"/>
  <c r="R45" i="6"/>
  <c r="R36" i="6"/>
  <c r="R33" i="3"/>
  <c r="R8" i="3"/>
  <c r="R38" i="9"/>
  <c r="R39" i="9" s="1"/>
  <c r="R41" i="9" s="1"/>
  <c r="AH35" i="4" s="1"/>
  <c r="AA35" i="4" s="1"/>
  <c r="R59" i="9"/>
  <c r="AH37" i="4" s="1"/>
  <c r="AA37" i="4" s="1"/>
  <c r="R49" i="9"/>
  <c r="R31" i="9"/>
  <c r="AH34" i="4" s="1"/>
  <c r="AA34" i="4" s="1"/>
  <c r="R17" i="9"/>
  <c r="AH33" i="4" s="1"/>
  <c r="AA33" i="4" s="1"/>
  <c r="Q43" i="21" l="1"/>
  <c r="Q30" i="21"/>
  <c r="Q32" i="21" s="1"/>
  <c r="Q42" i="21"/>
  <c r="R11" i="3"/>
  <c r="AH24" i="4"/>
  <c r="AA24" i="4" s="1"/>
  <c r="R60" i="9"/>
  <c r="R61" i="9" s="1"/>
  <c r="AH36" i="4"/>
  <c r="AA36" i="4" s="1"/>
  <c r="R44" i="5"/>
  <c r="R47" i="6"/>
  <c r="R49" i="6" s="1"/>
  <c r="R51" i="6" s="1"/>
  <c r="R32" i="5"/>
  <c r="R24" i="5"/>
  <c r="R12" i="5"/>
  <c r="R32" i="9"/>
  <c r="AH32" i="4" s="1"/>
  <c r="AA32" i="4" s="1"/>
  <c r="R48" i="5" l="1"/>
  <c r="AF42" i="4"/>
  <c r="Y42" i="4" s="1"/>
  <c r="Q44" i="21"/>
  <c r="Q48" i="21" s="1"/>
  <c r="Q36" i="21"/>
  <c r="R36" i="5"/>
  <c r="R14" i="3"/>
  <c r="AH25" i="4"/>
  <c r="AA25" i="4" s="1"/>
  <c r="AK37" i="22"/>
  <c r="AK36" i="22"/>
  <c r="AK35" i="22"/>
  <c r="AK34" i="22"/>
  <c r="AK33" i="22"/>
  <c r="AK32" i="22"/>
  <c r="AJ48" i="22"/>
  <c r="AC48" i="22" s="1"/>
  <c r="AJ47" i="22"/>
  <c r="AC47" i="22" s="1"/>
  <c r="AJ45" i="22"/>
  <c r="AC45" i="22" s="1"/>
  <c r="AJ44" i="22"/>
  <c r="AC44" i="22" s="1"/>
  <c r="AJ43" i="22"/>
  <c r="AC43" i="22" s="1"/>
  <c r="AJ42" i="22"/>
  <c r="AC42" i="22" s="1"/>
  <c r="AJ28" i="22"/>
  <c r="AC28" i="22" s="1"/>
  <c r="AF43" i="4" l="1"/>
  <c r="Y43" i="4" s="1"/>
  <c r="AH46" i="22"/>
  <c r="AA46" i="22" s="1"/>
  <c r="R18" i="3"/>
  <c r="AH26" i="4"/>
  <c r="AA26" i="4" s="1"/>
  <c r="AJ46" i="22"/>
  <c r="AC46" i="22" s="1"/>
  <c r="S45" i="6"/>
  <c r="S36" i="6"/>
  <c r="S8" i="6"/>
  <c r="S24" i="6" s="1"/>
  <c r="AH28" i="4" l="1"/>
  <c r="AA28" i="4" s="1"/>
  <c r="AF44" i="4"/>
  <c r="Y44" i="4" s="1"/>
  <c r="R21" i="3"/>
  <c r="AH29" i="4"/>
  <c r="AA29" i="4" s="1"/>
  <c r="S47" i="6"/>
  <c r="S33" i="3"/>
  <c r="S56" i="9"/>
  <c r="AF47" i="4" l="1"/>
  <c r="Y47" i="4" s="1"/>
  <c r="AF46" i="4"/>
  <c r="Y46" i="4" s="1"/>
  <c r="AH30" i="4"/>
  <c r="AA30" i="4" s="1"/>
  <c r="R34" i="3"/>
  <c r="R36" i="3" s="1"/>
  <c r="R23" i="3"/>
  <c r="AK27" i="4"/>
  <c r="AL45" i="4"/>
  <c r="AE45" i="4" s="1"/>
  <c r="AF48" i="4" l="1"/>
  <c r="Y48" i="4" s="1"/>
  <c r="AL45" i="22"/>
  <c r="AE45" i="22" s="1"/>
  <c r="AK30" i="22"/>
  <c r="AK29" i="22"/>
  <c r="AK27" i="22"/>
  <c r="AK26" i="22"/>
  <c r="AK25" i="22"/>
  <c r="AK24" i="22"/>
  <c r="AK23" i="22"/>
  <c r="AH41" i="4" l="1"/>
  <c r="AA41" i="4" s="1"/>
  <c r="S41" i="21"/>
  <c r="S29" i="21"/>
  <c r="S17" i="21"/>
  <c r="S31" i="21"/>
  <c r="S19" i="21"/>
  <c r="S18" i="21"/>
  <c r="S7" i="21"/>
  <c r="S6" i="21"/>
  <c r="S43" i="5"/>
  <c r="R43" i="21" s="1"/>
  <c r="S42" i="5"/>
  <c r="R42" i="21" s="1"/>
  <c r="S30" i="5"/>
  <c r="R30" i="21" s="1"/>
  <c r="R32" i="21" s="1"/>
  <c r="S41" i="5"/>
  <c r="S29" i="5"/>
  <c r="S17" i="5"/>
  <c r="S20" i="5"/>
  <c r="S8" i="5"/>
  <c r="D57" i="7"/>
  <c r="S8" i="3"/>
  <c r="S59" i="9"/>
  <c r="AJ37" i="4" s="1"/>
  <c r="AC37" i="4" s="1"/>
  <c r="S49" i="9"/>
  <c r="AJ36" i="4" s="1"/>
  <c r="AC36" i="4" s="1"/>
  <c r="S39" i="9"/>
  <c r="S41" i="9" s="1"/>
  <c r="AJ35" i="4" s="1"/>
  <c r="AC35" i="4" s="1"/>
  <c r="S31" i="9"/>
  <c r="AJ34" i="4" s="1"/>
  <c r="AC34" i="4" s="1"/>
  <c r="S17" i="9"/>
  <c r="AJ33" i="4" s="1"/>
  <c r="AC33" i="4" s="1"/>
  <c r="S32" i="5" l="1"/>
  <c r="R44" i="21"/>
  <c r="R36" i="21"/>
  <c r="S30" i="21"/>
  <c r="S32" i="21" s="1"/>
  <c r="S32" i="9"/>
  <c r="AJ32" i="4" s="1"/>
  <c r="AC32" i="4" s="1"/>
  <c r="S42" i="21"/>
  <c r="S44" i="5"/>
  <c r="S20" i="21"/>
  <c r="S36" i="5"/>
  <c r="S43" i="21"/>
  <c r="S8" i="21"/>
  <c r="S11" i="3"/>
  <c r="AJ24" i="4"/>
  <c r="AC24" i="4" s="1"/>
  <c r="S24" i="5"/>
  <c r="S12" i="5"/>
  <c r="S49" i="6"/>
  <c r="S60" i="9"/>
  <c r="S61" i="9" s="1"/>
  <c r="S12" i="21" l="1"/>
  <c r="R48" i="21"/>
  <c r="S24" i="21"/>
  <c r="AH42" i="4"/>
  <c r="AA42" i="4" s="1"/>
  <c r="S36" i="21"/>
  <c r="S44" i="21"/>
  <c r="S48" i="5"/>
  <c r="AJ42" i="4"/>
  <c r="AC42" i="4" s="1"/>
  <c r="S14" i="3"/>
  <c r="AJ25" i="4"/>
  <c r="AC25" i="4" s="1"/>
  <c r="AL28" i="22"/>
  <c r="AE28" i="22" s="1"/>
  <c r="AM27" i="4"/>
  <c r="AL37" i="22"/>
  <c r="AE37" i="22" s="1"/>
  <c r="AL36" i="22"/>
  <c r="AE36" i="22" s="1"/>
  <c r="AL35" i="22"/>
  <c r="AE35" i="22" s="1"/>
  <c r="AL34" i="22"/>
  <c r="AE34" i="22" s="1"/>
  <c r="AL33" i="22"/>
  <c r="AE33" i="22" s="1"/>
  <c r="AL32" i="22"/>
  <c r="AE32" i="22" s="1"/>
  <c r="AL30" i="22"/>
  <c r="AL29" i="22"/>
  <c r="AL26" i="22"/>
  <c r="AL25" i="22"/>
  <c r="AL24" i="22"/>
  <c r="S48" i="21" l="1"/>
  <c r="AH43" i="4"/>
  <c r="AA43" i="4" s="1"/>
  <c r="AL42" i="22"/>
  <c r="AE42" i="22" s="1"/>
  <c r="AE24" i="22"/>
  <c r="AL48" i="22"/>
  <c r="AE48" i="22" s="1"/>
  <c r="AE30" i="22"/>
  <c r="AL43" i="22"/>
  <c r="AE43" i="22" s="1"/>
  <c r="AE25" i="22"/>
  <c r="AL44" i="22"/>
  <c r="AE44" i="22" s="1"/>
  <c r="AE26" i="22"/>
  <c r="AL41" i="22"/>
  <c r="AE41" i="22" s="1"/>
  <c r="AE23" i="22"/>
  <c r="AL47" i="22"/>
  <c r="AE47" i="22" s="1"/>
  <c r="AE29" i="22"/>
  <c r="AJ43" i="4"/>
  <c r="AC43" i="4" s="1"/>
  <c r="S18" i="3"/>
  <c r="AJ26" i="4"/>
  <c r="AC26" i="4" s="1"/>
  <c r="AH44" i="4" l="1"/>
  <c r="AA44" i="4" s="1"/>
  <c r="AJ44" i="4"/>
  <c r="AC44" i="4" s="1"/>
  <c r="AJ28" i="4"/>
  <c r="AC28" i="4" s="1"/>
  <c r="S21" i="3"/>
  <c r="AJ29" i="4"/>
  <c r="AC29" i="4" s="1"/>
  <c r="T6" i="21"/>
  <c r="AH46" i="4" l="1"/>
  <c r="AA46" i="4" s="1"/>
  <c r="AH47" i="4"/>
  <c r="AA47" i="4" s="1"/>
  <c r="AJ47" i="4"/>
  <c r="AC47" i="4" s="1"/>
  <c r="AJ46" i="4"/>
  <c r="AC46" i="4" s="1"/>
  <c r="AJ30" i="4"/>
  <c r="AC30" i="4" s="1"/>
  <c r="S34" i="3"/>
  <c r="S36" i="3" s="1"/>
  <c r="S23" i="3"/>
  <c r="G56" i="7"/>
  <c r="G14" i="7" s="1"/>
  <c r="D56" i="7"/>
  <c r="D14" i="7" s="1"/>
  <c r="AH48" i="4" l="1"/>
  <c r="AA48" i="4" s="1"/>
  <c r="H14" i="7"/>
  <c r="AJ48" i="4"/>
  <c r="AC48" i="4" s="1"/>
  <c r="AP28" i="22"/>
  <c r="AI28" i="22" s="1"/>
  <c r="AT23" i="22"/>
  <c r="AM23" i="22" s="1"/>
  <c r="M5" i="22" l="1"/>
  <c r="M6" i="22"/>
  <c r="M7" i="22"/>
  <c r="M8" i="22"/>
  <c r="M9" i="22"/>
  <c r="L10" i="22"/>
  <c r="K10" i="22" s="1"/>
  <c r="M11" i="22"/>
  <c r="M12" i="22"/>
  <c r="M14" i="22"/>
  <c r="M15" i="22"/>
  <c r="M16" i="22"/>
  <c r="M17" i="22"/>
  <c r="M18" i="22"/>
  <c r="M19" i="22"/>
  <c r="AL23" i="4"/>
  <c r="AE23" i="4" s="1"/>
  <c r="T19" i="21" l="1"/>
  <c r="T18" i="21"/>
  <c r="T7" i="21"/>
  <c r="T8" i="21" s="1"/>
  <c r="T43" i="5"/>
  <c r="T42" i="5"/>
  <c r="T31" i="5"/>
  <c r="T30" i="5"/>
  <c r="T20" i="5"/>
  <c r="T8" i="5"/>
  <c r="T12" i="21" l="1"/>
  <c r="T20" i="21"/>
  <c r="T44" i="5"/>
  <c r="T32" i="5"/>
  <c r="T24" i="5"/>
  <c r="T12" i="5"/>
  <c r="T24" i="21" l="1"/>
  <c r="T48" i="5"/>
  <c r="T36" i="5"/>
  <c r="T12" i="6" l="1"/>
  <c r="T8" i="6" s="1"/>
  <c r="T24" i="6" s="1"/>
  <c r="T45" i="6"/>
  <c r="T36" i="6"/>
  <c r="T31" i="3"/>
  <c r="T33" i="3" s="1"/>
  <c r="T8" i="3"/>
  <c r="T59" i="9"/>
  <c r="T49" i="9"/>
  <c r="T39" i="9"/>
  <c r="T41" i="9" s="1"/>
  <c r="T31" i="9"/>
  <c r="T17" i="9"/>
  <c r="J6" i="4" l="1"/>
  <c r="I6" i="4" s="1"/>
  <c r="J17" i="4"/>
  <c r="J18" i="4"/>
  <c r="J19" i="4"/>
  <c r="I19" i="4" s="1"/>
  <c r="J15" i="4"/>
  <c r="I15" i="4" s="1"/>
  <c r="J16" i="4"/>
  <c r="I16" i="4" s="1"/>
  <c r="T47" i="6"/>
  <c r="T49" i="6" s="1"/>
  <c r="T51" i="6" s="1"/>
  <c r="S51" i="6" s="1"/>
  <c r="T11" i="3"/>
  <c r="AL24" i="4"/>
  <c r="AE24" i="4" s="1"/>
  <c r="AL37" i="4"/>
  <c r="AE37" i="4" s="1"/>
  <c r="AL35" i="4"/>
  <c r="AE35" i="4" s="1"/>
  <c r="AL33" i="4"/>
  <c r="AE33" i="4" s="1"/>
  <c r="AL34" i="4"/>
  <c r="AE34" i="4" s="1"/>
  <c r="T60" i="9"/>
  <c r="T61" i="9" s="1"/>
  <c r="AL36" i="4"/>
  <c r="AE36" i="4" s="1"/>
  <c r="T32" i="9"/>
  <c r="J7" i="4" l="1"/>
  <c r="I7" i="4" s="1"/>
  <c r="J14" i="4"/>
  <c r="I18" i="4"/>
  <c r="I17" i="4"/>
  <c r="T14" i="3"/>
  <c r="AL25" i="4"/>
  <c r="AE25" i="4" s="1"/>
  <c r="AL32" i="4"/>
  <c r="AE32" i="4" s="1"/>
  <c r="J8" i="4" l="1"/>
  <c r="I14" i="4"/>
  <c r="AL26" i="4"/>
  <c r="AE26" i="4" s="1"/>
  <c r="T18" i="3"/>
  <c r="AN45" i="4"/>
  <c r="AG45" i="4" s="1"/>
  <c r="AO27" i="4"/>
  <c r="J10" i="4" l="1"/>
  <c r="I10" i="4" s="1"/>
  <c r="I8" i="4"/>
  <c r="J11" i="4"/>
  <c r="I11" i="4" s="1"/>
  <c r="AL28" i="4"/>
  <c r="AE28" i="4" s="1"/>
  <c r="AL29" i="4"/>
  <c r="AE29" i="4" s="1"/>
  <c r="T21" i="3"/>
  <c r="AN23" i="4"/>
  <c r="AG23" i="4" s="1"/>
  <c r="AN41" i="22"/>
  <c r="AG41" i="22" s="1"/>
  <c r="AO37" i="22"/>
  <c r="AO36" i="22"/>
  <c r="AO35" i="22"/>
  <c r="AO34" i="22"/>
  <c r="AO33" i="22"/>
  <c r="AO32" i="22"/>
  <c r="AN28" i="22"/>
  <c r="AG28" i="22" s="1"/>
  <c r="AO30" i="22"/>
  <c r="AO29" i="22"/>
  <c r="AO27" i="22"/>
  <c r="AO26" i="22"/>
  <c r="AO25" i="22"/>
  <c r="AO24" i="22"/>
  <c r="AO23" i="22"/>
  <c r="J12" i="4" l="1"/>
  <c r="I12" i="4" s="1"/>
  <c r="AL46" i="22"/>
  <c r="AE46" i="22" s="1"/>
  <c r="AL41" i="4"/>
  <c r="AE41" i="4" s="1"/>
  <c r="T23" i="3"/>
  <c r="AL30" i="4"/>
  <c r="AE30" i="4" s="1"/>
  <c r="T34" i="3"/>
  <c r="T36" i="3" s="1"/>
  <c r="U32" i="6"/>
  <c r="U25" i="9"/>
  <c r="G55" i="7" l="1"/>
  <c r="D54" i="7"/>
  <c r="AN48" i="22"/>
  <c r="AG48" i="22" s="1"/>
  <c r="AN47" i="22"/>
  <c r="AG47" i="22" s="1"/>
  <c r="AN45" i="22"/>
  <c r="AG45" i="22" s="1"/>
  <c r="AN44" i="22"/>
  <c r="AG44" i="22" s="1"/>
  <c r="AN43" i="22"/>
  <c r="AG43" i="22" s="1"/>
  <c r="AN42" i="22"/>
  <c r="AG42" i="22" s="1"/>
  <c r="U19" i="21" l="1"/>
  <c r="U18" i="21"/>
  <c r="U7" i="21"/>
  <c r="U6" i="21"/>
  <c r="V6" i="21"/>
  <c r="U43" i="5"/>
  <c r="T43" i="21" s="1"/>
  <c r="U42" i="5"/>
  <c r="T42" i="21" s="1"/>
  <c r="U31" i="5"/>
  <c r="U30" i="5"/>
  <c r="T30" i="21" s="1"/>
  <c r="U20" i="5"/>
  <c r="U8" i="5"/>
  <c r="U8" i="6"/>
  <c r="U24" i="6" s="1"/>
  <c r="U45" i="6"/>
  <c r="U36" i="6"/>
  <c r="U31" i="3"/>
  <c r="U33" i="3" s="1"/>
  <c r="U8" i="3"/>
  <c r="U37" i="9"/>
  <c r="D55" i="7" s="1"/>
  <c r="U24" i="5" l="1"/>
  <c r="U47" i="6"/>
  <c r="U49" i="6" s="1"/>
  <c r="U51" i="6" s="1"/>
  <c r="T44" i="21"/>
  <c r="U32" i="5"/>
  <c r="T31" i="21"/>
  <c r="T32" i="21" s="1"/>
  <c r="U11" i="3"/>
  <c r="AN24" i="4"/>
  <c r="AG24" i="4" s="1"/>
  <c r="U20" i="21"/>
  <c r="U8" i="21"/>
  <c r="U44" i="5"/>
  <c r="U12" i="5"/>
  <c r="T48" i="21" l="1"/>
  <c r="U36" i="5"/>
  <c r="T36" i="21"/>
  <c r="AL42" i="4"/>
  <c r="AE42" i="4" s="1"/>
  <c r="U48" i="5"/>
  <c r="U14" i="3"/>
  <c r="AN25" i="4"/>
  <c r="AG25" i="4" s="1"/>
  <c r="U24" i="21"/>
  <c r="U12" i="21"/>
  <c r="AL43" i="4" l="1"/>
  <c r="AE43" i="4" s="1"/>
  <c r="U18" i="3"/>
  <c r="AN26" i="4"/>
  <c r="AG26" i="4" s="1"/>
  <c r="U59" i="9"/>
  <c r="AN37" i="4" s="1"/>
  <c r="AG37" i="4" s="1"/>
  <c r="U49" i="9"/>
  <c r="U39" i="9"/>
  <c r="U41" i="9" s="1"/>
  <c r="AN35" i="4" s="1"/>
  <c r="AG35" i="4" s="1"/>
  <c r="U31" i="9"/>
  <c r="AN34" i="4" s="1"/>
  <c r="AG34" i="4" s="1"/>
  <c r="U17" i="9"/>
  <c r="AL44" i="4" l="1"/>
  <c r="AE44" i="4" s="1"/>
  <c r="AN28" i="4"/>
  <c r="AG28" i="4" s="1"/>
  <c r="U21" i="3"/>
  <c r="AN29" i="4"/>
  <c r="AG29" i="4" s="1"/>
  <c r="U32" i="9"/>
  <c r="AN32" i="4" s="1"/>
  <c r="AG32" i="4" s="1"/>
  <c r="AN33" i="4"/>
  <c r="AG33" i="4" s="1"/>
  <c r="U60" i="9"/>
  <c r="U61" i="9" s="1"/>
  <c r="AN36" i="4"/>
  <c r="AG36" i="4" s="1"/>
  <c r="W32" i="6"/>
  <c r="V32" i="6"/>
  <c r="AL46" i="4" l="1"/>
  <c r="AE46" i="4" s="1"/>
  <c r="AL47" i="4"/>
  <c r="AE47" i="4" s="1"/>
  <c r="AN30" i="4"/>
  <c r="AG30" i="4" s="1"/>
  <c r="U34" i="3"/>
  <c r="U36" i="3" s="1"/>
  <c r="AP41" i="22"/>
  <c r="AI41" i="22" s="1"/>
  <c r="AQ32" i="22"/>
  <c r="AQ23" i="22"/>
  <c r="AN46" i="22"/>
  <c r="AG46" i="22" s="1"/>
  <c r="AL48" i="4" l="1"/>
  <c r="AE48" i="4" s="1"/>
  <c r="AP48" i="22"/>
  <c r="AI48" i="22" s="1"/>
  <c r="AP47" i="22"/>
  <c r="AI47" i="22" s="1"/>
  <c r="AP45" i="22"/>
  <c r="AI45" i="22" s="1"/>
  <c r="AP44" i="22"/>
  <c r="AI44" i="22" s="1"/>
  <c r="AP43" i="22"/>
  <c r="AI43" i="22" s="1"/>
  <c r="AP42" i="22"/>
  <c r="AI42" i="22" s="1"/>
  <c r="V39" i="9" l="1"/>
  <c r="AP45" i="4" l="1"/>
  <c r="AI45" i="4" s="1"/>
  <c r="AQ37" i="22" l="1"/>
  <c r="AQ36" i="22"/>
  <c r="AQ35" i="22"/>
  <c r="AQ34" i="22"/>
  <c r="AQ33" i="22"/>
  <c r="AQ30" i="22"/>
  <c r="AQ29" i="22"/>
  <c r="AQ27" i="22"/>
  <c r="AQ26" i="22"/>
  <c r="AQ25" i="22"/>
  <c r="AQ24" i="22"/>
  <c r="G54" i="7" l="1"/>
  <c r="H54" i="7" s="1"/>
  <c r="V19" i="21" l="1"/>
  <c r="V18" i="21"/>
  <c r="V7" i="21"/>
  <c r="V31" i="5"/>
  <c r="V30" i="5"/>
  <c r="V43" i="5"/>
  <c r="U43" i="21" s="1"/>
  <c r="V42" i="5"/>
  <c r="U42" i="21" s="1"/>
  <c r="W30" i="5"/>
  <c r="W32" i="5" s="1"/>
  <c r="V20" i="5"/>
  <c r="V8" i="5"/>
  <c r="W8" i="5"/>
  <c r="U44" i="21" l="1"/>
  <c r="V30" i="21"/>
  <c r="U30" i="21"/>
  <c r="V31" i="21"/>
  <c r="U31" i="21"/>
  <c r="U48" i="21"/>
  <c r="V44" i="5"/>
  <c r="V20" i="21"/>
  <c r="V24" i="21" s="1"/>
  <c r="V8" i="21"/>
  <c r="V32" i="5"/>
  <c r="V12" i="5"/>
  <c r="W36" i="5"/>
  <c r="V24" i="5"/>
  <c r="W12" i="5"/>
  <c r="AP23" i="4"/>
  <c r="AI23" i="4" s="1"/>
  <c r="AQ27" i="4"/>
  <c r="V45" i="6"/>
  <c r="V36" i="6"/>
  <c r="V8" i="6"/>
  <c r="V24" i="6" s="1"/>
  <c r="V12" i="21" l="1"/>
  <c r="V48" i="5"/>
  <c r="V32" i="21"/>
  <c r="U32" i="21"/>
  <c r="U36" i="21" s="1"/>
  <c r="AN41" i="4"/>
  <c r="AG41" i="4" s="1"/>
  <c r="V36" i="5"/>
  <c r="V47" i="6"/>
  <c r="V49" i="6" s="1"/>
  <c r="V51" i="6" s="1"/>
  <c r="V33" i="3"/>
  <c r="V8" i="3"/>
  <c r="AP24" i="4" s="1"/>
  <c r="AI24" i="4" s="1"/>
  <c r="V59" i="9"/>
  <c r="V49" i="9"/>
  <c r="AP36" i="4" s="1"/>
  <c r="AI36" i="4" s="1"/>
  <c r="V41" i="9"/>
  <c r="AP35" i="4" s="1"/>
  <c r="AI35" i="4" s="1"/>
  <c r="V31" i="9"/>
  <c r="AP34" i="4" s="1"/>
  <c r="AI34" i="4" s="1"/>
  <c r="V17" i="9"/>
  <c r="AP33" i="4" s="1"/>
  <c r="AI33" i="4" s="1"/>
  <c r="V36" i="21" l="1"/>
  <c r="AN42" i="4"/>
  <c r="AG42" i="4" s="1"/>
  <c r="V11" i="3"/>
  <c r="V14" i="3" s="1"/>
  <c r="V60" i="9"/>
  <c r="V61" i="9" s="1"/>
  <c r="AP37" i="4"/>
  <c r="AI37" i="4" s="1"/>
  <c r="V32" i="9"/>
  <c r="AP32" i="4" s="1"/>
  <c r="AI32" i="4" s="1"/>
  <c r="AP25" i="4" l="1"/>
  <c r="AI25" i="4" s="1"/>
  <c r="V18" i="3"/>
  <c r="AP26" i="4"/>
  <c r="AI26" i="4" s="1"/>
  <c r="AR28" i="22"/>
  <c r="AS24" i="22"/>
  <c r="AS23" i="22"/>
  <c r="AN43" i="4" l="1"/>
  <c r="AG43" i="4" s="1"/>
  <c r="AP46" i="22"/>
  <c r="AI46" i="22" s="1"/>
  <c r="AK28" i="22"/>
  <c r="V21" i="3"/>
  <c r="AP29" i="4"/>
  <c r="AI29" i="4" s="1"/>
  <c r="AP28" i="4"/>
  <c r="AI28" i="4" s="1"/>
  <c r="AN44" i="4"/>
  <c r="AG44" i="4" s="1"/>
  <c r="W6" i="21"/>
  <c r="AN47" i="4" l="1"/>
  <c r="AG47" i="4" s="1"/>
  <c r="AN46" i="4"/>
  <c r="AG46" i="4" s="1"/>
  <c r="AP30" i="4"/>
  <c r="AI30" i="4" s="1"/>
  <c r="V23" i="3"/>
  <c r="V34" i="3"/>
  <c r="V36" i="3" s="1"/>
  <c r="AS27" i="4"/>
  <c r="W31" i="21"/>
  <c r="W19" i="21"/>
  <c r="W18" i="21"/>
  <c r="W7" i="21"/>
  <c r="AN48" i="4" l="1"/>
  <c r="AG48" i="4" s="1"/>
  <c r="W20" i="21"/>
  <c r="D53" i="7"/>
  <c r="W37" i="9"/>
  <c r="W24" i="21" l="1"/>
  <c r="W39" i="9"/>
  <c r="AR45" i="4" l="1"/>
  <c r="AK45" i="4" s="1"/>
  <c r="AT45" i="4"/>
  <c r="AM45" i="4" s="1"/>
  <c r="AR23" i="4" l="1"/>
  <c r="AK23" i="4" s="1"/>
  <c r="AR48" i="22"/>
  <c r="AK48" i="22" s="1"/>
  <c r="AR47" i="22"/>
  <c r="AK47" i="22" s="1"/>
  <c r="AR45" i="22"/>
  <c r="AK45" i="22" s="1"/>
  <c r="AR44" i="22"/>
  <c r="AK44" i="22" s="1"/>
  <c r="AR43" i="22"/>
  <c r="AK43" i="22" s="1"/>
  <c r="AR42" i="22"/>
  <c r="AK42" i="22" s="1"/>
  <c r="AR41" i="22"/>
  <c r="AK41" i="22" s="1"/>
  <c r="AP41" i="4" l="1"/>
  <c r="AI41" i="4" s="1"/>
  <c r="AR46" i="22"/>
  <c r="AK46" i="22" s="1"/>
  <c r="AR41" i="4"/>
  <c r="AK41" i="4" s="1"/>
  <c r="AS37" i="22"/>
  <c r="AS36" i="22"/>
  <c r="AS35" i="22"/>
  <c r="AS34" i="22"/>
  <c r="AS33" i="22"/>
  <c r="AS32" i="22"/>
  <c r="AS30" i="22"/>
  <c r="AS29" i="22"/>
  <c r="AS27" i="22"/>
  <c r="AS26" i="22"/>
  <c r="AS25" i="22"/>
  <c r="W8" i="21" l="1"/>
  <c r="W12" i="21" l="1"/>
  <c r="W43" i="5"/>
  <c r="W42" i="5"/>
  <c r="W30" i="21"/>
  <c r="W32" i="21" s="1"/>
  <c r="W20" i="5"/>
  <c r="X8" i="5"/>
  <c r="W43" i="21" l="1"/>
  <c r="V43" i="21"/>
  <c r="W42" i="21"/>
  <c r="V42" i="21"/>
  <c r="W36" i="21"/>
  <c r="W44" i="5"/>
  <c r="X12" i="5"/>
  <c r="W24" i="5"/>
  <c r="W44" i="21" l="1"/>
  <c r="W48" i="5"/>
  <c r="V44" i="21"/>
  <c r="W45" i="6"/>
  <c r="W36" i="6"/>
  <c r="W24" i="6"/>
  <c r="W33" i="3"/>
  <c r="W8" i="3"/>
  <c r="W48" i="21" l="1"/>
  <c r="V48" i="21"/>
  <c r="W11" i="3"/>
  <c r="AR24" i="4"/>
  <c r="AK24" i="4" s="1"/>
  <c r="W47" i="6"/>
  <c r="W49" i="6" s="1"/>
  <c r="W14" i="3" l="1"/>
  <c r="AR25" i="4"/>
  <c r="AK25" i="4" s="1"/>
  <c r="AP42" i="4"/>
  <c r="AI42" i="4" s="1"/>
  <c r="AR42" i="4"/>
  <c r="AK42" i="4" s="1"/>
  <c r="W59" i="9"/>
  <c r="AR37" i="4" s="1"/>
  <c r="AK37" i="4" s="1"/>
  <c r="W49" i="9"/>
  <c r="W41" i="9"/>
  <c r="AR35" i="4" s="1"/>
  <c r="AK35" i="4" s="1"/>
  <c r="W31" i="9"/>
  <c r="AR34" i="4" s="1"/>
  <c r="AK34" i="4" s="1"/>
  <c r="W17" i="9"/>
  <c r="AR33" i="4" s="1"/>
  <c r="AK33" i="4" s="1"/>
  <c r="W18" i="3" l="1"/>
  <c r="AR26" i="4"/>
  <c r="AK26" i="4" s="1"/>
  <c r="AP43" i="4"/>
  <c r="AI43" i="4" s="1"/>
  <c r="AR43" i="4"/>
  <c r="AK43" i="4" s="1"/>
  <c r="W60" i="9"/>
  <c r="W61" i="9" s="1"/>
  <c r="AR36" i="4"/>
  <c r="AK36" i="4" s="1"/>
  <c r="W32" i="9"/>
  <c r="AR32" i="4" s="1"/>
  <c r="AK32" i="4" s="1"/>
  <c r="W21" i="3" l="1"/>
  <c r="AR29" i="4"/>
  <c r="AK29" i="4" s="1"/>
  <c r="AP44" i="4"/>
  <c r="AI44" i="4" s="1"/>
  <c r="AR28" i="4"/>
  <c r="AK28" i="4" s="1"/>
  <c r="AR44" i="4"/>
  <c r="AK44" i="4" s="1"/>
  <c r="AT41" i="22"/>
  <c r="AM41" i="22" s="1"/>
  <c r="AR30" i="4" l="1"/>
  <c r="AK30" i="4" s="1"/>
  <c r="W34" i="3"/>
  <c r="W36" i="3" s="1"/>
  <c r="W23" i="3"/>
  <c r="AP46" i="4"/>
  <c r="AI46" i="4" s="1"/>
  <c r="AR46" i="4"/>
  <c r="AK46" i="4" s="1"/>
  <c r="AP47" i="4"/>
  <c r="AI47" i="4" s="1"/>
  <c r="AR47" i="4"/>
  <c r="AK47" i="4" s="1"/>
  <c r="AU27" i="4"/>
  <c r="AT23" i="4"/>
  <c r="AM23" i="4" s="1"/>
  <c r="M9" i="4"/>
  <c r="X6" i="21"/>
  <c r="AP48" i="4" l="1"/>
  <c r="AI48" i="4" s="1"/>
  <c r="AR48" i="4"/>
  <c r="AK48" i="4" s="1"/>
  <c r="L5" i="4"/>
  <c r="K5" i="4" s="1"/>
  <c r="AT32" i="22" l="1"/>
  <c r="AM32" i="22" s="1"/>
  <c r="AT33" i="22"/>
  <c r="AM33" i="22" s="1"/>
  <c r="AT34" i="22"/>
  <c r="AM34" i="22" s="1"/>
  <c r="AT35" i="22"/>
  <c r="AM35" i="22" s="1"/>
  <c r="AT36" i="22"/>
  <c r="AM36" i="22" s="1"/>
  <c r="AT37" i="22"/>
  <c r="AM37" i="22" s="1"/>
  <c r="AT24" i="22"/>
  <c r="AM24" i="22" s="1"/>
  <c r="AT25" i="22"/>
  <c r="AM25" i="22" s="1"/>
  <c r="AT26" i="22"/>
  <c r="AM26" i="22" s="1"/>
  <c r="AT27" i="22"/>
  <c r="AM27" i="22" s="1"/>
  <c r="AT28" i="22"/>
  <c r="AM28" i="22" s="1"/>
  <c r="AT29" i="22"/>
  <c r="AM29" i="22" s="1"/>
  <c r="AT30" i="22"/>
  <c r="AM30" i="22" s="1"/>
  <c r="AT47" i="22" l="1"/>
  <c r="AM47" i="22" s="1"/>
  <c r="AT43" i="22"/>
  <c r="AM43" i="22" s="1"/>
  <c r="AT42" i="22"/>
  <c r="AM42" i="22" s="1"/>
  <c r="AT45" i="22"/>
  <c r="AM45" i="22" s="1"/>
  <c r="AT48" i="22"/>
  <c r="AM48" i="22" s="1"/>
  <c r="AT44" i="22"/>
  <c r="AM44" i="22" s="1"/>
  <c r="X31" i="5"/>
  <c r="X42" i="5"/>
  <c r="X43" i="5"/>
  <c r="X30" i="5"/>
  <c r="G52" i="7"/>
  <c r="G13" i="7" s="1"/>
  <c r="H13" i="7" s="1"/>
  <c r="X31" i="3"/>
  <c r="X33" i="3" s="1"/>
  <c r="X37" i="9"/>
  <c r="X19" i="21" l="1"/>
  <c r="X18" i="21"/>
  <c r="X7" i="21"/>
  <c r="X44" i="5"/>
  <c r="X32" i="5"/>
  <c r="X20" i="5"/>
  <c r="Y8" i="5"/>
  <c r="X45" i="6"/>
  <c r="X36" i="6"/>
  <c r="X8" i="6"/>
  <c r="X24" i="6" s="1"/>
  <c r="Y8" i="6"/>
  <c r="Y24" i="6" s="1"/>
  <c r="Y36" i="6"/>
  <c r="Y45" i="6"/>
  <c r="X8" i="3"/>
  <c r="X59" i="9"/>
  <c r="X49" i="9"/>
  <c r="X39" i="9"/>
  <c r="X41" i="9" s="1"/>
  <c r="X31" i="9"/>
  <c r="X17" i="9"/>
  <c r="Y47" i="6" l="1"/>
  <c r="Y49" i="6" s="1"/>
  <c r="Y51" i="6" s="1"/>
  <c r="L6" i="4"/>
  <c r="K6" i="4" s="1"/>
  <c r="AT24" i="4"/>
  <c r="AM24" i="4" s="1"/>
  <c r="X32" i="9"/>
  <c r="L15" i="4"/>
  <c r="K15" i="4" s="1"/>
  <c r="AT33" i="4"/>
  <c r="AM33" i="4" s="1"/>
  <c r="L19" i="4"/>
  <c r="K19" i="4" s="1"/>
  <c r="AT37" i="4"/>
  <c r="AM37" i="4" s="1"/>
  <c r="L16" i="4"/>
  <c r="K16" i="4" s="1"/>
  <c r="AT34" i="4"/>
  <c r="AM34" i="4" s="1"/>
  <c r="X60" i="9"/>
  <c r="X61" i="9" s="1"/>
  <c r="L18" i="4"/>
  <c r="K18" i="4" s="1"/>
  <c r="AT36" i="4"/>
  <c r="AM36" i="4" s="1"/>
  <c r="L17" i="4"/>
  <c r="K17" i="4" s="1"/>
  <c r="AT35" i="4"/>
  <c r="AM35" i="4" s="1"/>
  <c r="X20" i="21"/>
  <c r="X47" i="6"/>
  <c r="X49" i="6" s="1"/>
  <c r="X11" i="3"/>
  <c r="X8" i="21"/>
  <c r="X48" i="5"/>
  <c r="X36" i="5"/>
  <c r="X24" i="5"/>
  <c r="Y12" i="5"/>
  <c r="AV42" i="22"/>
  <c r="AO42" i="22" s="1"/>
  <c r="AV43" i="22"/>
  <c r="AO43" i="22" s="1"/>
  <c r="AV44" i="22"/>
  <c r="AO44" i="22" s="1"/>
  <c r="AV45" i="22"/>
  <c r="AO45" i="22" s="1"/>
  <c r="AV47" i="22"/>
  <c r="AO47" i="22" s="1"/>
  <c r="AV48" i="22"/>
  <c r="AO48" i="22" s="1"/>
  <c r="AV41" i="22"/>
  <c r="AO41" i="22" s="1"/>
  <c r="AX41" i="22"/>
  <c r="AQ41" i="22" s="1"/>
  <c r="AX48" i="22"/>
  <c r="AQ48" i="22" s="1"/>
  <c r="AX47" i="22"/>
  <c r="AQ47" i="22" s="1"/>
  <c r="AX45" i="22"/>
  <c r="AQ45" i="22" s="1"/>
  <c r="AX44" i="22"/>
  <c r="AQ44" i="22" s="1"/>
  <c r="AX43" i="22"/>
  <c r="AQ43" i="22" s="1"/>
  <c r="AX42" i="22"/>
  <c r="AQ42" i="22" s="1"/>
  <c r="AV28" i="22"/>
  <c r="AO28" i="22" s="1"/>
  <c r="X24" i="21" l="1"/>
  <c r="AT46" i="22"/>
  <c r="AM46" i="22" s="1"/>
  <c r="X12" i="21"/>
  <c r="X14" i="3"/>
  <c r="X18" i="3" s="1"/>
  <c r="L7" i="4"/>
  <c r="K7" i="4" s="1"/>
  <c r="AT25" i="4"/>
  <c r="AM25" i="4" s="1"/>
  <c r="L14" i="4"/>
  <c r="K14" i="4" s="1"/>
  <c r="AT32" i="4"/>
  <c r="AM32" i="4" s="1"/>
  <c r="Y6" i="21"/>
  <c r="L8" i="4" l="1"/>
  <c r="K8" i="4" s="1"/>
  <c r="AT26" i="4"/>
  <c r="AM26" i="4" s="1"/>
  <c r="Y59" i="9"/>
  <c r="AV45" i="4"/>
  <c r="AO45" i="4" s="1"/>
  <c r="AT28" i="4" l="1"/>
  <c r="AM28" i="4" s="1"/>
  <c r="L10" i="4"/>
  <c r="K10" i="4" s="1"/>
  <c r="X21" i="3"/>
  <c r="L11" i="4"/>
  <c r="K11" i="4" s="1"/>
  <c r="AT29" i="4"/>
  <c r="AM29" i="4" s="1"/>
  <c r="AV37" i="4"/>
  <c r="AO37" i="4" s="1"/>
  <c r="AV23" i="4"/>
  <c r="AT41" i="4" l="1"/>
  <c r="AM41" i="4" s="1"/>
  <c r="AO23" i="4"/>
  <c r="L12" i="4"/>
  <c r="K12" i="4" s="1"/>
  <c r="AT30" i="4"/>
  <c r="AM30" i="4" s="1"/>
  <c r="X34" i="3"/>
  <c r="X36" i="3" s="1"/>
  <c r="X23" i="3"/>
  <c r="Y19" i="21"/>
  <c r="Y18" i="21"/>
  <c r="Y7" i="21"/>
  <c r="Z6" i="21"/>
  <c r="Y43" i="5"/>
  <c r="X43" i="21" s="1"/>
  <c r="Y42" i="5"/>
  <c r="X42" i="21" s="1"/>
  <c r="Y31" i="5"/>
  <c r="Y30" i="5"/>
  <c r="Y20" i="5"/>
  <c r="G51" i="7"/>
  <c r="Y31" i="3"/>
  <c r="X44" i="21" l="1"/>
  <c r="X30" i="21"/>
  <c r="X31" i="21"/>
  <c r="Y44" i="5"/>
  <c r="Y20" i="21"/>
  <c r="Y24" i="5"/>
  <c r="Y8" i="21"/>
  <c r="Y32" i="5"/>
  <c r="Y33" i="3"/>
  <c r="Y8" i="3"/>
  <c r="Y37" i="9"/>
  <c r="Y49" i="9"/>
  <c r="Y31" i="9"/>
  <c r="AV34" i="4" s="1"/>
  <c r="AO34" i="4" s="1"/>
  <c r="Y17" i="9"/>
  <c r="AV33" i="4" s="1"/>
  <c r="AO33" i="4" s="1"/>
  <c r="AW27" i="4"/>
  <c r="X48" i="21" l="1"/>
  <c r="X32" i="21"/>
  <c r="Y24" i="21"/>
  <c r="Y12" i="21"/>
  <c r="Y48" i="5"/>
  <c r="Y11" i="3"/>
  <c r="AV24" i="4"/>
  <c r="Y39" i="9"/>
  <c r="Y41" i="9" s="1"/>
  <c r="D51" i="7"/>
  <c r="Y60" i="9"/>
  <c r="AV36" i="4"/>
  <c r="AO36" i="4" s="1"/>
  <c r="Y36" i="5"/>
  <c r="Y32" i="9"/>
  <c r="AV32" i="4" s="1"/>
  <c r="AO32" i="4" s="1"/>
  <c r="AT42" i="4" l="1"/>
  <c r="AM42" i="4" s="1"/>
  <c r="AO24" i="4"/>
  <c r="X36" i="21"/>
  <c r="AV35" i="4"/>
  <c r="AO35" i="4" s="1"/>
  <c r="Y61" i="9"/>
  <c r="Y14" i="3"/>
  <c r="AV25" i="4"/>
  <c r="AW37" i="22"/>
  <c r="AW36" i="22"/>
  <c r="AW35" i="22"/>
  <c r="AW34" i="22"/>
  <c r="AW33" i="22"/>
  <c r="AW32" i="22"/>
  <c r="AW30" i="22"/>
  <c r="AW29" i="22"/>
  <c r="AW27" i="22"/>
  <c r="AW26" i="22"/>
  <c r="AW25" i="22"/>
  <c r="AW24" i="22"/>
  <c r="AW23" i="22"/>
  <c r="AT43" i="4" l="1"/>
  <c r="AM43" i="4" s="1"/>
  <c r="AO25" i="4"/>
  <c r="Y18" i="3"/>
  <c r="AV26" i="4"/>
  <c r="AY27" i="4"/>
  <c r="O5" i="22"/>
  <c r="AY30" i="22"/>
  <c r="AY29" i="22"/>
  <c r="AY27" i="22"/>
  <c r="AY26" i="22"/>
  <c r="AY25" i="22"/>
  <c r="AY24" i="22"/>
  <c r="AY23" i="22"/>
  <c r="AY37" i="22"/>
  <c r="AY36" i="22"/>
  <c r="AY35" i="22"/>
  <c r="AY34" i="22"/>
  <c r="AY33" i="22"/>
  <c r="AY32" i="22"/>
  <c r="AX28" i="22"/>
  <c r="AQ28" i="22" s="1"/>
  <c r="AT44" i="4" l="1"/>
  <c r="AM44" i="4" s="1"/>
  <c r="AO26" i="4"/>
  <c r="AV46" i="22"/>
  <c r="AO46" i="22" s="1"/>
  <c r="AV28" i="4"/>
  <c r="Y21" i="3"/>
  <c r="AV29" i="4"/>
  <c r="Z38" i="9"/>
  <c r="Z29" i="9"/>
  <c r="Z31" i="9" s="1"/>
  <c r="Z10" i="3"/>
  <c r="Z17" i="9"/>
  <c r="AT46" i="4" l="1"/>
  <c r="AM46" i="4" s="1"/>
  <c r="AO28" i="4"/>
  <c r="AT47" i="4"/>
  <c r="AM47" i="4" s="1"/>
  <c r="AO29" i="4"/>
  <c r="AV30" i="4"/>
  <c r="Y23" i="3"/>
  <c r="Y34" i="3"/>
  <c r="Y36" i="3" s="1"/>
  <c r="AX34" i="4"/>
  <c r="AQ34" i="4" s="1"/>
  <c r="AX33" i="4"/>
  <c r="AQ33" i="4" s="1"/>
  <c r="AX23" i="4"/>
  <c r="AQ23" i="4" s="1"/>
  <c r="BD41" i="22"/>
  <c r="AW41" i="22" s="1"/>
  <c r="AT48" i="4" l="1"/>
  <c r="AM48" i="4" s="1"/>
  <c r="AO30" i="4"/>
  <c r="AV41" i="4"/>
  <c r="AO41" i="4" s="1"/>
  <c r="Z43" i="5"/>
  <c r="Z42" i="5"/>
  <c r="Z31" i="5"/>
  <c r="Y31" i="21" s="1"/>
  <c r="Z30" i="5"/>
  <c r="Y30" i="21" s="1"/>
  <c r="G50" i="7"/>
  <c r="Y32" i="21" l="1"/>
  <c r="Z37" i="9"/>
  <c r="D50" i="7" s="1"/>
  <c r="Y36" i="21" l="1"/>
  <c r="BA23" i="22"/>
  <c r="BA24" i="22"/>
  <c r="BA25" i="22"/>
  <c r="BA26" i="22"/>
  <c r="BA27" i="22"/>
  <c r="AZ28" i="22"/>
  <c r="BA29" i="22"/>
  <c r="BA30" i="22"/>
  <c r="BA32" i="22"/>
  <c r="BA33" i="22"/>
  <c r="BA34" i="22"/>
  <c r="BA35" i="22"/>
  <c r="BA36" i="22"/>
  <c r="BA37" i="22"/>
  <c r="Z19" i="21"/>
  <c r="Z18" i="21"/>
  <c r="Z7" i="21"/>
  <c r="Z44" i="5"/>
  <c r="Z32" i="5"/>
  <c r="Z20" i="5"/>
  <c r="Z8" i="5"/>
  <c r="Z45" i="6"/>
  <c r="Z36" i="6"/>
  <c r="Z8" i="6"/>
  <c r="Z24" i="6" s="1"/>
  <c r="Z33" i="3"/>
  <c r="Z8" i="3"/>
  <c r="Z59" i="9"/>
  <c r="AX37" i="4" s="1"/>
  <c r="AQ37" i="4" s="1"/>
  <c r="Z49" i="9"/>
  <c r="Z39" i="9"/>
  <c r="Z41" i="9" s="1"/>
  <c r="AX35" i="4" s="1"/>
  <c r="AQ35" i="4" s="1"/>
  <c r="AX45" i="4"/>
  <c r="AQ45" i="4" s="1"/>
  <c r="AX46" i="22" l="1"/>
  <c r="AQ46" i="22" s="1"/>
  <c r="AS28" i="22"/>
  <c r="Z12" i="5"/>
  <c r="Z60" i="9"/>
  <c r="Z61" i="9" s="1"/>
  <c r="AX36" i="4"/>
  <c r="AQ36" i="4" s="1"/>
  <c r="Z47" i="6"/>
  <c r="Z49" i="6" s="1"/>
  <c r="Z11" i="3"/>
  <c r="AX25" i="4" s="1"/>
  <c r="AX24" i="4"/>
  <c r="Z48" i="5"/>
  <c r="Z24" i="5"/>
  <c r="Z20" i="21"/>
  <c r="Z8" i="21"/>
  <c r="Z32" i="9"/>
  <c r="AX32" i="4" s="1"/>
  <c r="AQ32" i="4" s="1"/>
  <c r="Z36" i="5"/>
  <c r="AZ41" i="22"/>
  <c r="AS41" i="22" s="1"/>
  <c r="AV43" i="4" l="1"/>
  <c r="AO43" i="4" s="1"/>
  <c r="AQ25" i="4"/>
  <c r="AV42" i="4"/>
  <c r="AO42" i="4" s="1"/>
  <c r="AQ24" i="4"/>
  <c r="Z14" i="3"/>
  <c r="Z18" i="3" s="1"/>
  <c r="Z12" i="21"/>
  <c r="Z24" i="21"/>
  <c r="O9" i="4"/>
  <c r="AZ45" i="4"/>
  <c r="AS45" i="4" s="1"/>
  <c r="AX26" i="4" l="1"/>
  <c r="AV44" i="4" s="1"/>
  <c r="AO44" i="4" s="1"/>
  <c r="Z21" i="3"/>
  <c r="AX29" i="4"/>
  <c r="AA43" i="21"/>
  <c r="AA42" i="21"/>
  <c r="AA42" i="5"/>
  <c r="Z42" i="21" s="1"/>
  <c r="AA43" i="5"/>
  <c r="Z43" i="21" s="1"/>
  <c r="AX28" i="4" l="1"/>
  <c r="AV46" i="4" s="1"/>
  <c r="AO46" i="4" s="1"/>
  <c r="AQ26" i="4"/>
  <c r="AV47" i="4"/>
  <c r="AO47" i="4" s="1"/>
  <c r="AQ29" i="4"/>
  <c r="Z44" i="21"/>
  <c r="AX30" i="4"/>
  <c r="Z34" i="3"/>
  <c r="Z36" i="3" s="1"/>
  <c r="Z23" i="3"/>
  <c r="AA29" i="9"/>
  <c r="AQ28" i="4" l="1"/>
  <c r="AV48" i="4"/>
  <c r="AO48" i="4" s="1"/>
  <c r="AQ30" i="4"/>
  <c r="Z48" i="21"/>
  <c r="AZ48" i="22"/>
  <c r="AS48" i="22" s="1"/>
  <c r="AZ47" i="22"/>
  <c r="AS47" i="22" s="1"/>
  <c r="AZ45" i="22"/>
  <c r="AS45" i="22" s="1"/>
  <c r="AZ44" i="22"/>
  <c r="AS44" i="22" s="1"/>
  <c r="AZ43" i="22"/>
  <c r="AS43" i="22" s="1"/>
  <c r="AZ42" i="22"/>
  <c r="AS42" i="22" s="1"/>
  <c r="AZ46" i="22" l="1"/>
  <c r="AS46" i="22" s="1"/>
  <c r="AA44" i="21"/>
  <c r="AA31" i="21"/>
  <c r="AA30" i="21"/>
  <c r="AA20" i="21"/>
  <c r="AA8" i="21"/>
  <c r="AA31" i="5"/>
  <c r="Z31" i="21" s="1"/>
  <c r="AA30" i="5"/>
  <c r="Z30" i="21" s="1"/>
  <c r="AA44" i="5"/>
  <c r="AA20" i="5"/>
  <c r="AA8" i="5"/>
  <c r="AZ23" i="4"/>
  <c r="AS23" i="4" s="1"/>
  <c r="AX41" i="4" l="1"/>
  <c r="AQ41" i="4" s="1"/>
  <c r="AA12" i="21"/>
  <c r="Z32" i="21"/>
  <c r="AA24" i="21"/>
  <c r="AA32" i="21"/>
  <c r="AA32" i="5"/>
  <c r="AZ41" i="4"/>
  <c r="AS41" i="4" s="1"/>
  <c r="AA48" i="21"/>
  <c r="AA48" i="5"/>
  <c r="AA24" i="5"/>
  <c r="AA12" i="5"/>
  <c r="Z36" i="21" l="1"/>
  <c r="AA36" i="21"/>
  <c r="AA36" i="5"/>
  <c r="G49" i="7"/>
  <c r="G48" i="7"/>
  <c r="G12" i="7" s="1"/>
  <c r="D49" i="7"/>
  <c r="AA8" i="6"/>
  <c r="AA24" i="6" s="1"/>
  <c r="AA45" i="6"/>
  <c r="AA36" i="6"/>
  <c r="AA33" i="3"/>
  <c r="AA8" i="3"/>
  <c r="AA59" i="9"/>
  <c r="AZ37" i="4" s="1"/>
  <c r="AS37" i="4" s="1"/>
  <c r="AA49" i="9"/>
  <c r="AZ36" i="4" s="1"/>
  <c r="AS36" i="4" s="1"/>
  <c r="AA39" i="9"/>
  <c r="AA41" i="9" s="1"/>
  <c r="AZ35" i="4" s="1"/>
  <c r="AS35" i="4" s="1"/>
  <c r="AA31" i="9"/>
  <c r="AZ34" i="4" s="1"/>
  <c r="AS34" i="4" s="1"/>
  <c r="AA17" i="9"/>
  <c r="AZ33" i="4" s="1"/>
  <c r="AS33" i="4" s="1"/>
  <c r="BA27" i="4"/>
  <c r="BB23" i="4"/>
  <c r="AU23" i="4" s="1"/>
  <c r="BC27" i="4"/>
  <c r="AA47" i="6" l="1"/>
  <c r="AA49" i="6" s="1"/>
  <c r="AA11" i="3"/>
  <c r="AZ25" i="4" s="1"/>
  <c r="AS25" i="4" s="1"/>
  <c r="AZ24" i="4"/>
  <c r="AS24" i="4" s="1"/>
  <c r="AA60" i="9"/>
  <c r="AA61" i="9" s="1"/>
  <c r="AA32" i="9"/>
  <c r="AZ32" i="4" s="1"/>
  <c r="AS32" i="4" s="1"/>
  <c r="N10" i="22"/>
  <c r="M10" i="22" s="1"/>
  <c r="AX43" i="4" l="1"/>
  <c r="AQ43" i="4" s="1"/>
  <c r="AA14" i="3"/>
  <c r="AZ26" i="4" s="1"/>
  <c r="AS26" i="4" s="1"/>
  <c r="AX42" i="4"/>
  <c r="AQ42" i="4" s="1"/>
  <c r="AZ42" i="4"/>
  <c r="AS42" i="4" s="1"/>
  <c r="AZ43" i="4"/>
  <c r="AS43" i="4" s="1"/>
  <c r="AB6" i="21"/>
  <c r="AB31" i="5"/>
  <c r="AB30" i="5"/>
  <c r="AX44" i="4" l="1"/>
  <c r="AQ44" i="4" s="1"/>
  <c r="AA18" i="3"/>
  <c r="AZ29" i="4" s="1"/>
  <c r="AS29" i="4" s="1"/>
  <c r="AB32" i="5"/>
  <c r="AZ44" i="4"/>
  <c r="AS44" i="4" s="1"/>
  <c r="AZ28" i="4"/>
  <c r="AS28" i="4" s="1"/>
  <c r="AA21" i="3" l="1"/>
  <c r="AZ30" i="4" s="1"/>
  <c r="AS30" i="4" s="1"/>
  <c r="AZ46" i="4"/>
  <c r="AS46" i="4" s="1"/>
  <c r="AX46" i="4"/>
  <c r="AQ46" i="4" s="1"/>
  <c r="AZ47" i="4"/>
  <c r="AS47" i="4" s="1"/>
  <c r="AX47" i="4"/>
  <c r="AQ47" i="4" s="1"/>
  <c r="AB59" i="9"/>
  <c r="BB37" i="4" s="1"/>
  <c r="AU37" i="4" s="1"/>
  <c r="AB39" i="9"/>
  <c r="AB41" i="9" s="1"/>
  <c r="BB35" i="4" s="1"/>
  <c r="AU35" i="4" s="1"/>
  <c r="AB17" i="9"/>
  <c r="BB33" i="4" s="1"/>
  <c r="AU33" i="4" s="1"/>
  <c r="AA23" i="3" l="1"/>
  <c r="AA34" i="3"/>
  <c r="AA36" i="3" s="1"/>
  <c r="AZ48" i="4"/>
  <c r="AS48" i="4" s="1"/>
  <c r="AX48" i="4"/>
  <c r="AQ48" i="4" s="1"/>
  <c r="D48" i="7"/>
  <c r="D12" i="7" s="1"/>
  <c r="H12" i="7" s="1"/>
  <c r="BD47" i="22"/>
  <c r="AW47" i="22" s="1"/>
  <c r="BB32" i="22"/>
  <c r="AU32" i="22" s="1"/>
  <c r="BB33" i="22"/>
  <c r="AU33" i="22" s="1"/>
  <c r="BB34" i="22"/>
  <c r="AU34" i="22" s="1"/>
  <c r="BB35" i="22"/>
  <c r="AU35" i="22" s="1"/>
  <c r="BB36" i="22"/>
  <c r="AU36" i="22" s="1"/>
  <c r="BB37" i="22"/>
  <c r="AU37" i="22" s="1"/>
  <c r="BB24" i="22"/>
  <c r="BB25" i="22"/>
  <c r="BB26" i="22"/>
  <c r="BB27" i="22"/>
  <c r="BB29" i="22"/>
  <c r="BB30" i="22"/>
  <c r="BB23" i="22"/>
  <c r="BJ23" i="22"/>
  <c r="BB45" i="22" l="1"/>
  <c r="AU45" i="22" s="1"/>
  <c r="AU27" i="22"/>
  <c r="BB41" i="22"/>
  <c r="AU41" i="22" s="1"/>
  <c r="AU23" i="22"/>
  <c r="BB44" i="22"/>
  <c r="AU44" i="22" s="1"/>
  <c r="AU26" i="22"/>
  <c r="BB48" i="22"/>
  <c r="AU48" i="22" s="1"/>
  <c r="AU30" i="22"/>
  <c r="BB43" i="22"/>
  <c r="AU43" i="22" s="1"/>
  <c r="AU25" i="22"/>
  <c r="BB47" i="22"/>
  <c r="AU47" i="22" s="1"/>
  <c r="AU29" i="22"/>
  <c r="BB42" i="22"/>
  <c r="AU42" i="22" s="1"/>
  <c r="AU24" i="22"/>
  <c r="H55" i="7" l="1"/>
  <c r="H53" i="7"/>
  <c r="H49" i="7"/>
  <c r="H48" i="7"/>
  <c r="O19" i="22"/>
  <c r="O18" i="22"/>
  <c r="O17" i="22"/>
  <c r="O16" i="22"/>
  <c r="O15" i="22"/>
  <c r="O14" i="22"/>
  <c r="O12" i="22"/>
  <c r="O11" i="22"/>
  <c r="BB28" i="22"/>
  <c r="AU28" i="22" s="1"/>
  <c r="O9" i="22"/>
  <c r="O8" i="22"/>
  <c r="O7" i="22"/>
  <c r="O6" i="22"/>
  <c r="H58" i="7" l="1"/>
  <c r="H52" i="7"/>
  <c r="H50" i="7"/>
  <c r="H51" i="7"/>
  <c r="AB18" i="21"/>
  <c r="AB19" i="21"/>
  <c r="AB7" i="21"/>
  <c r="AB8" i="21" s="1"/>
  <c r="AF6" i="21"/>
  <c r="AC6" i="21"/>
  <c r="AB44" i="5"/>
  <c r="H56" i="7" l="1"/>
  <c r="H57" i="7"/>
  <c r="AB48" i="5"/>
  <c r="AB20" i="5"/>
  <c r="AB8" i="5"/>
  <c r="BB45" i="4"/>
  <c r="AU45" i="4" s="1"/>
  <c r="BD45" i="4"/>
  <c r="AW45" i="4" s="1"/>
  <c r="N5" i="4"/>
  <c r="M5" i="4" s="1"/>
  <c r="AB45" i="6"/>
  <c r="AB36" i="6"/>
  <c r="AB8" i="6"/>
  <c r="AB24" i="6" s="1"/>
  <c r="AB47" i="6" s="1"/>
  <c r="AB49" i="6" s="1"/>
  <c r="AB51" i="6" s="1"/>
  <c r="AB24" i="5" l="1"/>
  <c r="Z50" i="6"/>
  <c r="Z51" i="6" s="1"/>
  <c r="X51" i="6" s="1"/>
  <c r="W50" i="6" s="1"/>
  <c r="W51" i="6" s="1"/>
  <c r="AA50" i="6"/>
  <c r="AA51" i="6" s="1"/>
  <c r="AB12" i="5"/>
  <c r="AB36" i="5"/>
  <c r="AB33" i="3"/>
  <c r="AB8" i="3"/>
  <c r="BB24" i="4" s="1"/>
  <c r="AU24" i="4" s="1"/>
  <c r="AB49" i="9"/>
  <c r="AB31" i="9"/>
  <c r="BB36" i="4" l="1"/>
  <c r="AU36" i="4" s="1"/>
  <c r="AB60" i="9"/>
  <c r="AB61" i="9" s="1"/>
  <c r="BB34" i="4"/>
  <c r="AU34" i="4" s="1"/>
  <c r="AB32" i="9"/>
  <c r="BB32" i="4" s="1"/>
  <c r="AU32" i="4" s="1"/>
  <c r="N17" i="4"/>
  <c r="M17" i="4" s="1"/>
  <c r="N15" i="4"/>
  <c r="M15" i="4" s="1"/>
  <c r="N19" i="4"/>
  <c r="M19" i="4" s="1"/>
  <c r="N16" i="4"/>
  <c r="M16" i="4" s="1"/>
  <c r="N18" i="4"/>
  <c r="M18" i="4" s="1"/>
  <c r="AB11" i="3"/>
  <c r="BB25" i="4" s="1"/>
  <c r="AU25" i="4" s="1"/>
  <c r="N6" i="4"/>
  <c r="M6" i="4" s="1"/>
  <c r="N14" i="4" l="1"/>
  <c r="M14" i="4" s="1"/>
  <c r="AB14" i="3"/>
  <c r="N7" i="4"/>
  <c r="M7" i="4" s="1"/>
  <c r="BE23" i="22"/>
  <c r="BD28" i="22"/>
  <c r="BB46" i="22" l="1"/>
  <c r="AU46" i="22" s="1"/>
  <c r="AW28" i="22"/>
  <c r="BB26" i="4"/>
  <c r="AU26" i="4" s="1"/>
  <c r="N8" i="4"/>
  <c r="M8" i="4" s="1"/>
  <c r="AB18" i="3"/>
  <c r="BB29" i="4" s="1"/>
  <c r="AU29" i="4" s="1"/>
  <c r="AC31" i="5"/>
  <c r="AB31" i="21" s="1"/>
  <c r="AC30" i="5"/>
  <c r="AB30" i="21" s="1"/>
  <c r="AC17" i="6"/>
  <c r="AC8" i="6" s="1"/>
  <c r="AD8" i="6"/>
  <c r="AC7" i="6"/>
  <c r="AC33" i="3"/>
  <c r="AC8" i="3"/>
  <c r="AC25" i="9"/>
  <c r="AC31" i="9" s="1"/>
  <c r="AC24" i="6" l="1"/>
  <c r="BB28" i="4"/>
  <c r="AU28" i="4" s="1"/>
  <c r="N10" i="4"/>
  <c r="M10" i="4" s="1"/>
  <c r="AB21" i="3"/>
  <c r="BB30" i="4" s="1"/>
  <c r="AU30" i="4" s="1"/>
  <c r="N11" i="4"/>
  <c r="M11" i="4" s="1"/>
  <c r="AB32" i="21"/>
  <c r="BI23" i="22"/>
  <c r="BE24" i="22"/>
  <c r="BE32" i="22"/>
  <c r="BF44" i="22"/>
  <c r="AY44" i="22" s="1"/>
  <c r="BD43" i="22"/>
  <c r="AW43" i="22" s="1"/>
  <c r="BD48" i="22"/>
  <c r="AW48" i="22" s="1"/>
  <c r="BD44" i="22"/>
  <c r="AW44" i="22" s="1"/>
  <c r="BD45" i="22"/>
  <c r="AW45" i="22" s="1"/>
  <c r="BF45" i="22"/>
  <c r="AY45" i="22" s="1"/>
  <c r="BE33" i="22"/>
  <c r="BE34" i="22"/>
  <c r="BE35" i="22"/>
  <c r="BE36" i="22"/>
  <c r="BE37" i="22"/>
  <c r="BE25" i="22"/>
  <c r="BE26" i="22"/>
  <c r="BE27" i="22"/>
  <c r="BE29" i="22"/>
  <c r="BE30" i="22"/>
  <c r="BG24" i="22"/>
  <c r="BF41" i="22"/>
  <c r="AY41" i="22" s="1"/>
  <c r="BD42" i="22"/>
  <c r="AW42" i="22" s="1"/>
  <c r="BF42" i="22"/>
  <c r="AY42" i="22" s="1"/>
  <c r="AB36" i="21" l="1"/>
  <c r="AB23" i="3"/>
  <c r="N12" i="4"/>
  <c r="M12" i="4" s="1"/>
  <c r="AB34" i="3"/>
  <c r="AC19" i="21"/>
  <c r="AC18" i="21"/>
  <c r="AC7" i="21"/>
  <c r="AC8" i="21" s="1"/>
  <c r="AC43" i="5"/>
  <c r="AB43" i="21" s="1"/>
  <c r="AC42" i="5"/>
  <c r="AB42" i="21" s="1"/>
  <c r="AB44" i="21" l="1"/>
  <c r="AC44" i="5"/>
  <c r="AC32" i="5"/>
  <c r="AC20" i="5"/>
  <c r="AB20" i="21" s="1"/>
  <c r="AC8" i="5"/>
  <c r="AC48" i="5" l="1"/>
  <c r="AB48" i="21"/>
  <c r="AC24" i="5"/>
  <c r="AB24" i="21" s="1"/>
  <c r="AC36" i="5"/>
  <c r="AC12" i="5"/>
  <c r="AB12" i="21" s="1"/>
  <c r="G47" i="7"/>
  <c r="D47" i="7"/>
  <c r="H47" i="7" l="1"/>
  <c r="BD23" i="4"/>
  <c r="AW23" i="4" s="1"/>
  <c r="BF23" i="4"/>
  <c r="AY23" i="4" s="1"/>
  <c r="AC45" i="6"/>
  <c r="AC36" i="6"/>
  <c r="BB41" i="4" l="1"/>
  <c r="AU41" i="4" s="1"/>
  <c r="AC47" i="6"/>
  <c r="AC49" i="6" s="1"/>
  <c r="AC51" i="6" s="1"/>
  <c r="BD41" i="4"/>
  <c r="AW41" i="4" s="1"/>
  <c r="BD24" i="4"/>
  <c r="AC59" i="9"/>
  <c r="AC49" i="9"/>
  <c r="BD36" i="4" s="1"/>
  <c r="AW36" i="4" s="1"/>
  <c r="AC39" i="9"/>
  <c r="AC41" i="9" s="1"/>
  <c r="BD35" i="4" s="1"/>
  <c r="AW35" i="4" s="1"/>
  <c r="BD34" i="4"/>
  <c r="AW34" i="4" s="1"/>
  <c r="AC17" i="9"/>
  <c r="BB42" i="4" l="1"/>
  <c r="AU42" i="4" s="1"/>
  <c r="AW24" i="4"/>
  <c r="BD33" i="4"/>
  <c r="AW33" i="4" s="1"/>
  <c r="AC32" i="9"/>
  <c r="BD32" i="4" s="1"/>
  <c r="AW32" i="4" s="1"/>
  <c r="AC11" i="3"/>
  <c r="AC60" i="9"/>
  <c r="AC61" i="9" s="1"/>
  <c r="BD37" i="4"/>
  <c r="AW37" i="4" s="1"/>
  <c r="BD25" i="4" l="1"/>
  <c r="AW25" i="4" s="1"/>
  <c r="AC14" i="3"/>
  <c r="AD6" i="21"/>
  <c r="AD43" i="5"/>
  <c r="AC43" i="21" s="1"/>
  <c r="AD42" i="5"/>
  <c r="AC42" i="21" s="1"/>
  <c r="AD31" i="5"/>
  <c r="AC31" i="21" s="1"/>
  <c r="AD30" i="5"/>
  <c r="AC30" i="21" s="1"/>
  <c r="AC32" i="21" l="1"/>
  <c r="AC44" i="21"/>
  <c r="BB43" i="4"/>
  <c r="AU43" i="4" s="1"/>
  <c r="BD26" i="4"/>
  <c r="AW26" i="4" s="1"/>
  <c r="AC18" i="3"/>
  <c r="AC48" i="21" l="1"/>
  <c r="AC36" i="21"/>
  <c r="BD28" i="4"/>
  <c r="AW28" i="4" s="1"/>
  <c r="BB44" i="4"/>
  <c r="AU44" i="4" s="1"/>
  <c r="AC21" i="3"/>
  <c r="AC23" i="3" s="1"/>
  <c r="BD29" i="4"/>
  <c r="BB47" i="4" l="1"/>
  <c r="AU47" i="4" s="1"/>
  <c r="AW29" i="4"/>
  <c r="BB46" i="4"/>
  <c r="AU46" i="4" s="1"/>
  <c r="BD30" i="4"/>
  <c r="AC34" i="3"/>
  <c r="BH28" i="22"/>
  <c r="BA28" i="22" s="1"/>
  <c r="BF28" i="22"/>
  <c r="AY28" i="22" s="1"/>
  <c r="BG27" i="22"/>
  <c r="BB48" i="4" l="1"/>
  <c r="AU48" i="4" s="1"/>
  <c r="AW30" i="4"/>
  <c r="BD46" i="22"/>
  <c r="AW46" i="22" s="1"/>
  <c r="BF43" i="22"/>
  <c r="AY43" i="22" s="1"/>
  <c r="BF46" i="22"/>
  <c r="AY46" i="22" s="1"/>
  <c r="BF47" i="22"/>
  <c r="AY47" i="22" s="1"/>
  <c r="BF48" i="22"/>
  <c r="AY48" i="22" s="1"/>
  <c r="AD43" i="21"/>
  <c r="AD42" i="21"/>
  <c r="AD31" i="21"/>
  <c r="AD30" i="21"/>
  <c r="AD19" i="21"/>
  <c r="AD18" i="21"/>
  <c r="AD7" i="21"/>
  <c r="AD8" i="21" s="1"/>
  <c r="AD8" i="5"/>
  <c r="AD44" i="5"/>
  <c r="AD32" i="5"/>
  <c r="AD20" i="5"/>
  <c r="AD12" i="21" l="1"/>
  <c r="AD12" i="5"/>
  <c r="AC12" i="21" s="1"/>
  <c r="AD36" i="5"/>
  <c r="AD24" i="5"/>
  <c r="AC24" i="21" s="1"/>
  <c r="AC20" i="21"/>
  <c r="AD48" i="5"/>
  <c r="AD20" i="21"/>
  <c r="AD32" i="21"/>
  <c r="AD44" i="21"/>
  <c r="BH41" i="22"/>
  <c r="BA41" i="22" s="1"/>
  <c r="AD24" i="21" l="1"/>
  <c r="AD36" i="21"/>
  <c r="AD48" i="21"/>
  <c r="BF45" i="4"/>
  <c r="AY45" i="4" s="1"/>
  <c r="G46" i="7" l="1"/>
  <c r="D46" i="7"/>
  <c r="BG27" i="4"/>
  <c r="AD45" i="6"/>
  <c r="AD36" i="6"/>
  <c r="AD24" i="6"/>
  <c r="AD59" i="9"/>
  <c r="BF37" i="4" s="1"/>
  <c r="AY37" i="4" s="1"/>
  <c r="AD49" i="9"/>
  <c r="AD39" i="9"/>
  <c r="AD41" i="9" s="1"/>
  <c r="BF35" i="4" s="1"/>
  <c r="AY35" i="4" s="1"/>
  <c r="AD31" i="9"/>
  <c r="BF34" i="4" s="1"/>
  <c r="AY34" i="4" s="1"/>
  <c r="AD17" i="9"/>
  <c r="BF33" i="4" s="1"/>
  <c r="AY33" i="4" s="1"/>
  <c r="AD33" i="3"/>
  <c r="AD8" i="3"/>
  <c r="AD11" i="3" s="1"/>
  <c r="AD14" i="3" s="1"/>
  <c r="AD18" i="3" s="1"/>
  <c r="AD21" i="3" s="1"/>
  <c r="BF30" i="4" s="1"/>
  <c r="BH23" i="4"/>
  <c r="H46" i="7" l="1"/>
  <c r="BH41" i="4"/>
  <c r="BA41" i="4" s="1"/>
  <c r="BA23" i="4"/>
  <c r="BD48" i="4"/>
  <c r="AW48" i="4" s="1"/>
  <c r="AY30" i="4"/>
  <c r="BF41" i="4"/>
  <c r="AY41" i="4" s="1"/>
  <c r="AD60" i="9"/>
  <c r="AD61" i="9" s="1"/>
  <c r="BF24" i="4"/>
  <c r="AY24" i="4" s="1"/>
  <c r="AD47" i="6"/>
  <c r="AD49" i="6" s="1"/>
  <c r="BF25" i="4"/>
  <c r="AY25" i="4" s="1"/>
  <c r="BF26" i="4"/>
  <c r="AY26" i="4" s="1"/>
  <c r="AD32" i="9"/>
  <c r="BF32" i="4" s="1"/>
  <c r="AY32" i="4" s="1"/>
  <c r="BF29" i="4"/>
  <c r="AY29" i="4" s="1"/>
  <c r="BF36" i="4"/>
  <c r="AY36" i="4" s="1"/>
  <c r="AD34" i="3"/>
  <c r="AD36" i="3" s="1"/>
  <c r="AD23" i="3"/>
  <c r="BD44" i="4" l="1"/>
  <c r="AW44" i="4" s="1"/>
  <c r="BD43" i="4"/>
  <c r="AW43" i="4" s="1"/>
  <c r="BD42" i="4"/>
  <c r="AW42" i="4" s="1"/>
  <c r="BD47" i="4"/>
  <c r="AW47" i="4" s="1"/>
  <c r="BF28" i="4"/>
  <c r="AY28" i="4" s="1"/>
  <c r="BD46" i="4" l="1"/>
  <c r="AW46" i="4" s="1"/>
  <c r="BH45" i="4"/>
  <c r="BA45" i="4" s="1"/>
  <c r="AE43" i="21" l="1"/>
  <c r="AE42" i="21"/>
  <c r="AE31" i="21"/>
  <c r="AE30" i="21"/>
  <c r="AE19" i="21"/>
  <c r="AE18" i="21"/>
  <c r="AE7" i="21"/>
  <c r="AE6" i="21"/>
  <c r="AE44" i="5"/>
  <c r="AE32" i="5"/>
  <c r="AE20" i="5"/>
  <c r="AE8" i="5"/>
  <c r="G45" i="7"/>
  <c r="BD48" i="6"/>
  <c r="BD44" i="6"/>
  <c r="BD43" i="6"/>
  <c r="BD42" i="6"/>
  <c r="BD41" i="6"/>
  <c r="BD40" i="6"/>
  <c r="BD39" i="6"/>
  <c r="BD45" i="6" s="1"/>
  <c r="BD35" i="6"/>
  <c r="BD34" i="6"/>
  <c r="BD33" i="6"/>
  <c r="BD32" i="6"/>
  <c r="BD31" i="6"/>
  <c r="BD30" i="6"/>
  <c r="BD29" i="6"/>
  <c r="BD28" i="6"/>
  <c r="BD27" i="6"/>
  <c r="BD23" i="6"/>
  <c r="BD22" i="6"/>
  <c r="BD20" i="6"/>
  <c r="BD19" i="6"/>
  <c r="BD18" i="6"/>
  <c r="BD17" i="6"/>
  <c r="BD16" i="6"/>
  <c r="BD15" i="6"/>
  <c r="BD14" i="6"/>
  <c r="BD13" i="6"/>
  <c r="BD12" i="6"/>
  <c r="BD11" i="6"/>
  <c r="BD10" i="6"/>
  <c r="BD9" i="6"/>
  <c r="BD7" i="6"/>
  <c r="AE45" i="6"/>
  <c r="AE36" i="6"/>
  <c r="AE8" i="6"/>
  <c r="AE24" i="6" s="1"/>
  <c r="BD35" i="3"/>
  <c r="BD32" i="3"/>
  <c r="BD31" i="3"/>
  <c r="BD29" i="3"/>
  <c r="BD22" i="3"/>
  <c r="BD20" i="3"/>
  <c r="BD19" i="3"/>
  <c r="BD17" i="3"/>
  <c r="BD16" i="3"/>
  <c r="BD15" i="3"/>
  <c r="BD13" i="3"/>
  <c r="BD12" i="3"/>
  <c r="BD10" i="3"/>
  <c r="BD9" i="3"/>
  <c r="BD7" i="3"/>
  <c r="BD6" i="3"/>
  <c r="AE33" i="3"/>
  <c r="AE8" i="3"/>
  <c r="AE11" i="3" s="1"/>
  <c r="AE14" i="3" s="1"/>
  <c r="AE18" i="3" s="1"/>
  <c r="AE37" i="9"/>
  <c r="D45" i="7" s="1"/>
  <c r="BD8" i="3" l="1"/>
  <c r="BD36" i="6"/>
  <c r="AE24" i="5"/>
  <c r="BD33" i="3"/>
  <c r="AE48" i="5"/>
  <c r="AE36" i="5"/>
  <c r="AE8" i="21"/>
  <c r="AE20" i="21"/>
  <c r="AE44" i="21"/>
  <c r="AE32" i="21"/>
  <c r="BD8" i="6"/>
  <c r="BD24" i="6" s="1"/>
  <c r="BD47" i="6" s="1"/>
  <c r="BD49" i="6" s="1"/>
  <c r="AE21" i="3"/>
  <c r="AE34" i="3" s="1"/>
  <c r="AE36" i="3" s="1"/>
  <c r="BH29" i="4"/>
  <c r="BA29" i="4" s="1"/>
  <c r="BH24" i="4"/>
  <c r="BD11" i="3"/>
  <c r="BD14" i="3" s="1"/>
  <c r="BD18" i="3" s="1"/>
  <c r="BD21" i="3" s="1"/>
  <c r="BH25" i="4"/>
  <c r="BA25" i="4" s="1"/>
  <c r="BH26" i="4"/>
  <c r="BA26" i="4" s="1"/>
  <c r="AE12" i="5"/>
  <c r="AE47" i="6"/>
  <c r="AE49" i="6" s="1"/>
  <c r="AE48" i="21" l="1"/>
  <c r="BD34" i="3"/>
  <c r="BD36" i="3" s="1"/>
  <c r="AE24" i="21"/>
  <c r="AE12" i="21"/>
  <c r="BH42" i="4"/>
  <c r="BA42" i="4" s="1"/>
  <c r="BA24" i="4"/>
  <c r="BF42" i="4"/>
  <c r="AY42" i="4" s="1"/>
  <c r="BH44" i="4"/>
  <c r="BA44" i="4" s="1"/>
  <c r="BF44" i="4"/>
  <c r="AY44" i="4" s="1"/>
  <c r="BH47" i="4"/>
  <c r="BA47" i="4" s="1"/>
  <c r="BF47" i="4"/>
  <c r="AY47" i="4" s="1"/>
  <c r="BH43" i="4"/>
  <c r="BA43" i="4" s="1"/>
  <c r="BF43" i="4"/>
  <c r="AY43" i="4" s="1"/>
  <c r="AE36" i="21"/>
  <c r="BD23" i="3"/>
  <c r="BH28" i="4"/>
  <c r="AE23" i="3"/>
  <c r="BH30" i="4"/>
  <c r="BA30" i="4" s="1"/>
  <c r="AE59" i="9"/>
  <c r="BH37" i="4" s="1"/>
  <c r="BA37" i="4" s="1"/>
  <c r="AE49" i="9"/>
  <c r="BH36" i="4" s="1"/>
  <c r="BA36" i="4" s="1"/>
  <c r="AE39" i="9"/>
  <c r="AE41" i="9" s="1"/>
  <c r="BH35" i="4" s="1"/>
  <c r="BA35" i="4" s="1"/>
  <c r="AE31" i="9"/>
  <c r="BH34" i="4" s="1"/>
  <c r="BA34" i="4" s="1"/>
  <c r="AE17" i="9"/>
  <c r="BH33" i="4" s="1"/>
  <c r="BA33" i="4" s="1"/>
  <c r="BH48" i="22"/>
  <c r="BA48" i="22" s="1"/>
  <c r="BH47" i="22"/>
  <c r="BA47" i="22" s="1"/>
  <c r="BH45" i="22"/>
  <c r="BA45" i="22" s="1"/>
  <c r="BH44" i="22"/>
  <c r="BA44" i="22" s="1"/>
  <c r="BH43" i="22"/>
  <c r="BA43" i="22" s="1"/>
  <c r="BH42" i="22"/>
  <c r="BA42" i="22" s="1"/>
  <c r="BI37" i="22"/>
  <c r="BI36" i="22"/>
  <c r="BI35" i="22"/>
  <c r="BI34" i="22"/>
  <c r="BI33" i="22"/>
  <c r="BI32" i="22"/>
  <c r="BI30" i="22"/>
  <c r="BI29" i="22"/>
  <c r="BI27" i="22"/>
  <c r="BI26" i="22"/>
  <c r="BI25" i="22"/>
  <c r="BI24" i="22"/>
  <c r="BH46" i="4" l="1"/>
  <c r="BA46" i="4" s="1"/>
  <c r="BF46" i="4"/>
  <c r="AY46" i="4" s="1"/>
  <c r="BA28" i="4"/>
  <c r="BH48" i="4"/>
  <c r="BA48" i="4" s="1"/>
  <c r="BF48" i="4"/>
  <c r="AY48" i="4" s="1"/>
  <c r="AE60" i="9"/>
  <c r="AE61" i="9" s="1"/>
  <c r="AE32" i="9"/>
  <c r="BH32" i="4" s="1"/>
  <c r="BA32" i="4" s="1"/>
  <c r="BH46" i="22"/>
  <c r="BA46" i="22" s="1"/>
  <c r="BE48" i="6" l="1"/>
  <c r="BE44" i="6"/>
  <c r="BE43" i="6"/>
  <c r="BE42" i="6"/>
  <c r="BE41" i="6"/>
  <c r="BE40" i="6"/>
  <c r="BE39" i="6"/>
  <c r="BE35" i="6"/>
  <c r="BE34" i="6"/>
  <c r="BE33" i="6"/>
  <c r="BE32" i="6"/>
  <c r="BE31" i="6"/>
  <c r="BE30" i="6"/>
  <c r="BE29" i="6"/>
  <c r="BE28" i="6"/>
  <c r="BE27" i="6"/>
  <c r="BE23" i="6"/>
  <c r="BE22" i="6"/>
  <c r="BE20" i="6"/>
  <c r="BE19" i="6"/>
  <c r="BE18" i="6"/>
  <c r="BE17" i="6"/>
  <c r="BE16" i="6"/>
  <c r="BE15" i="6"/>
  <c r="BE14" i="6"/>
  <c r="BE13" i="6"/>
  <c r="BE12" i="6"/>
  <c r="BE11" i="6"/>
  <c r="BE10" i="6"/>
  <c r="BE9" i="6"/>
  <c r="BE7" i="6"/>
  <c r="BJ23" i="4"/>
  <c r="BC23" i="4" s="1"/>
  <c r="P5" i="4"/>
  <c r="O5" i="4" s="1"/>
  <c r="Q9" i="4"/>
  <c r="AF43" i="21"/>
  <c r="AF42" i="21"/>
  <c r="AF31" i="21"/>
  <c r="AF30" i="21"/>
  <c r="AF19" i="21"/>
  <c r="AF18" i="21"/>
  <c r="AF7" i="21"/>
  <c r="AF44" i="5"/>
  <c r="AF32" i="5"/>
  <c r="AF20" i="5"/>
  <c r="AF8" i="5"/>
  <c r="G44" i="7"/>
  <c r="G11" i="7" s="1"/>
  <c r="AF45" i="6"/>
  <c r="AF36" i="6"/>
  <c r="AF8" i="6"/>
  <c r="AF24" i="6" s="1"/>
  <c r="AF31" i="3"/>
  <c r="AF33" i="3" s="1"/>
  <c r="BE32" i="3"/>
  <c r="BE30" i="3"/>
  <c r="BE29" i="3"/>
  <c r="BE27" i="3"/>
  <c r="BE26" i="3"/>
  <c r="BE20" i="3"/>
  <c r="BE19" i="3"/>
  <c r="BE17" i="3"/>
  <c r="BE16" i="3"/>
  <c r="BE15" i="3"/>
  <c r="BE13" i="3"/>
  <c r="BE12" i="3"/>
  <c r="BE10" i="3"/>
  <c r="BE9" i="3"/>
  <c r="BE7" i="3"/>
  <c r="BE6" i="3"/>
  <c r="AF8" i="3"/>
  <c r="AF11" i="3" s="1"/>
  <c r="AF14" i="3" s="1"/>
  <c r="AF18" i="3" s="1"/>
  <c r="AF21" i="3" s="1"/>
  <c r="BJ30" i="4" s="1"/>
  <c r="BC30" i="4" s="1"/>
  <c r="AF37" i="9"/>
  <c r="D44" i="7" s="1"/>
  <c r="D11" i="7" s="1"/>
  <c r="H11" i="7" l="1"/>
  <c r="AF24" i="5"/>
  <c r="Q5" i="4"/>
  <c r="P6" i="4"/>
  <c r="O6" i="4" s="1"/>
  <c r="P12" i="4"/>
  <c r="O12" i="4" s="1"/>
  <c r="BJ24" i="4"/>
  <c r="BC24" i="4" s="1"/>
  <c r="BJ29" i="4"/>
  <c r="BC29" i="4" s="1"/>
  <c r="AF12" i="5"/>
  <c r="AF36" i="5"/>
  <c r="AF44" i="21"/>
  <c r="AF48" i="21" s="1"/>
  <c r="P7" i="4"/>
  <c r="O7" i="4" s="1"/>
  <c r="P8" i="4"/>
  <c r="O8" i="4" s="1"/>
  <c r="BJ25" i="4"/>
  <c r="BC25" i="4" s="1"/>
  <c r="P11" i="4"/>
  <c r="O11" i="4" s="1"/>
  <c r="BJ26" i="4"/>
  <c r="BC26" i="4" s="1"/>
  <c r="AF32" i="21"/>
  <c r="AF36" i="21" s="1"/>
  <c r="AF8" i="21"/>
  <c r="AF20" i="21"/>
  <c r="AF48" i="5"/>
  <c r="AF47" i="6"/>
  <c r="AF34" i="3"/>
  <c r="AF22" i="3"/>
  <c r="BE22" i="3" s="1"/>
  <c r="BJ28" i="4" l="1"/>
  <c r="BC28" i="4" s="1"/>
  <c r="Q12" i="4"/>
  <c r="Q8" i="4"/>
  <c r="Q6" i="4"/>
  <c r="Q7" i="4"/>
  <c r="Q11" i="4"/>
  <c r="P10" i="4"/>
  <c r="O10" i="4" s="1"/>
  <c r="AF49" i="6"/>
  <c r="AF12" i="21"/>
  <c r="AF24" i="21"/>
  <c r="AF35" i="3"/>
  <c r="BE35" i="3" s="1"/>
  <c r="AF59" i="9" l="1"/>
  <c r="AF49" i="9"/>
  <c r="AF39" i="9"/>
  <c r="AF41" i="9" s="1"/>
  <c r="AF31" i="9"/>
  <c r="AF17" i="9"/>
  <c r="BJ37" i="22"/>
  <c r="BC37" i="22" s="1"/>
  <c r="BJ36" i="22"/>
  <c r="BC36" i="22" s="1"/>
  <c r="BJ35" i="22"/>
  <c r="BC35" i="22" s="1"/>
  <c r="BJ34" i="22"/>
  <c r="BC34" i="22" s="1"/>
  <c r="BJ33" i="22"/>
  <c r="BC33" i="22" s="1"/>
  <c r="BJ32" i="22"/>
  <c r="BC32" i="22" s="1"/>
  <c r="BJ30" i="22"/>
  <c r="BC30" i="22" s="1"/>
  <c r="BJ29" i="22"/>
  <c r="BC29" i="22" s="1"/>
  <c r="BJ26" i="22"/>
  <c r="BC26" i="22" s="1"/>
  <c r="BJ27" i="22"/>
  <c r="BC27" i="22" s="1"/>
  <c r="BJ25" i="22"/>
  <c r="BC25" i="22" s="1"/>
  <c r="BJ24" i="22"/>
  <c r="BC24" i="22" s="1"/>
  <c r="BC23" i="22"/>
  <c r="P17" i="4" l="1"/>
  <c r="O17" i="4" s="1"/>
  <c r="BJ35" i="4"/>
  <c r="BC35" i="4" s="1"/>
  <c r="P16" i="4"/>
  <c r="O16" i="4" s="1"/>
  <c r="BJ34" i="4"/>
  <c r="BC34" i="4" s="1"/>
  <c r="AF60" i="9"/>
  <c r="AF61" i="9" s="1"/>
  <c r="P18" i="4"/>
  <c r="O18" i="4" s="1"/>
  <c r="BJ36" i="4"/>
  <c r="BC36" i="4" s="1"/>
  <c r="BJ33" i="4"/>
  <c r="BC33" i="4" s="1"/>
  <c r="P15" i="4"/>
  <c r="O15" i="4" s="1"/>
  <c r="BJ37" i="4"/>
  <c r="BC37" i="4" s="1"/>
  <c r="P19" i="4"/>
  <c r="O19" i="4" s="1"/>
  <c r="AF32" i="9"/>
  <c r="BJ48" i="22"/>
  <c r="BC48" i="22" s="1"/>
  <c r="BJ47" i="22"/>
  <c r="BC47" i="22" s="1"/>
  <c r="BJ45" i="22"/>
  <c r="BC45" i="22" s="1"/>
  <c r="BJ44" i="22"/>
  <c r="BC44" i="22" s="1"/>
  <c r="BJ43" i="22"/>
  <c r="BC43" i="22" s="1"/>
  <c r="BJ42" i="22"/>
  <c r="BC42" i="22" s="1"/>
  <c r="BJ41" i="22"/>
  <c r="BC41" i="22" s="1"/>
  <c r="BK37" i="22"/>
  <c r="BK36" i="22"/>
  <c r="BK35" i="22"/>
  <c r="BK34" i="22"/>
  <c r="BK33" i="22"/>
  <c r="BK32" i="22"/>
  <c r="BK30" i="22"/>
  <c r="BK29" i="22"/>
  <c r="BJ28" i="22"/>
  <c r="BC28" i="22" s="1"/>
  <c r="BK27" i="22"/>
  <c r="BK26" i="22"/>
  <c r="BK25" i="22"/>
  <c r="BK24" i="22"/>
  <c r="BK23" i="22"/>
  <c r="Q19" i="22"/>
  <c r="Q18" i="22"/>
  <c r="Q17" i="22"/>
  <c r="Q16" i="22"/>
  <c r="Q15" i="22"/>
  <c r="Q14" i="22"/>
  <c r="Q12" i="22"/>
  <c r="Q11" i="22"/>
  <c r="P10" i="22"/>
  <c r="O10" i="22" s="1"/>
  <c r="Q9" i="22"/>
  <c r="Q8" i="22"/>
  <c r="Q7" i="22"/>
  <c r="Q6" i="22"/>
  <c r="Q5" i="22"/>
  <c r="Q16" i="4" l="1"/>
  <c r="Q18" i="4"/>
  <c r="Q15" i="4"/>
  <c r="Q17" i="4"/>
  <c r="BJ32" i="4"/>
  <c r="BC32" i="4" s="1"/>
  <c r="P14" i="4"/>
  <c r="O14" i="4" s="1"/>
  <c r="BL27" i="4"/>
  <c r="BJ45" i="4" s="1"/>
  <c r="BL23" i="4"/>
  <c r="AG43" i="21"/>
  <c r="AG42" i="21"/>
  <c r="AG31" i="21"/>
  <c r="AG30" i="21"/>
  <c r="AG19" i="21"/>
  <c r="AG18" i="21"/>
  <c r="AG7" i="21"/>
  <c r="AG6" i="21"/>
  <c r="AG44" i="5"/>
  <c r="AG32" i="5"/>
  <c r="AG20" i="5"/>
  <c r="AG8" i="5"/>
  <c r="G43" i="7"/>
  <c r="D43" i="7"/>
  <c r="BF48" i="6"/>
  <c r="BF44" i="6"/>
  <c r="BF43" i="6"/>
  <c r="BF42" i="6"/>
  <c r="BF41" i="6"/>
  <c r="BF40" i="6"/>
  <c r="BF39" i="6"/>
  <c r="BF35" i="6"/>
  <c r="BF34" i="6"/>
  <c r="BF33" i="6"/>
  <c r="BF32" i="6"/>
  <c r="BF31" i="6"/>
  <c r="BF30" i="6"/>
  <c r="BF29" i="6"/>
  <c r="BF28" i="6"/>
  <c r="BF27" i="6"/>
  <c r="BF23" i="6"/>
  <c r="BF22" i="6"/>
  <c r="BF20" i="6"/>
  <c r="BF19" i="6"/>
  <c r="BF18" i="6"/>
  <c r="BF17" i="6"/>
  <c r="BF16" i="6"/>
  <c r="BF15" i="6"/>
  <c r="BF14" i="6"/>
  <c r="BF13" i="6"/>
  <c r="BF12" i="6"/>
  <c r="BF11" i="6"/>
  <c r="BF10" i="6"/>
  <c r="BF9" i="6"/>
  <c r="BF7" i="6"/>
  <c r="AG45" i="6"/>
  <c r="BE45" i="6" s="1"/>
  <c r="AG36" i="6"/>
  <c r="BE36" i="6" s="1"/>
  <c r="AG8" i="6"/>
  <c r="AG31" i="3"/>
  <c r="BE31" i="3" s="1"/>
  <c r="BC45" i="4" l="1"/>
  <c r="BE27" i="4"/>
  <c r="BJ41" i="4"/>
  <c r="BC41" i="4" s="1"/>
  <c r="BE23" i="4"/>
  <c r="AG24" i="6"/>
  <c r="BE8" i="6"/>
  <c r="AG24" i="5"/>
  <c r="AG36" i="5"/>
  <c r="AG8" i="21"/>
  <c r="AG20" i="21"/>
  <c r="AG32" i="21"/>
  <c r="AG44" i="21"/>
  <c r="BL45" i="4"/>
  <c r="BE45" i="4" s="1"/>
  <c r="AG48" i="5"/>
  <c r="AG12" i="5"/>
  <c r="BF45" i="6"/>
  <c r="BF36" i="6"/>
  <c r="BF8" i="6"/>
  <c r="BF24" i="6" s="1"/>
  <c r="AG12" i="21" l="1"/>
  <c r="AG48" i="21"/>
  <c r="AG47" i="6"/>
  <c r="BE24" i="6"/>
  <c r="AG36" i="21"/>
  <c r="AG24" i="21"/>
  <c r="BF47" i="6"/>
  <c r="BF49" i="6" s="1"/>
  <c r="AG49" i="6" l="1"/>
  <c r="BE47" i="6"/>
  <c r="BF32" i="3"/>
  <c r="BF29" i="3"/>
  <c r="BF20" i="3"/>
  <c r="BF19" i="3"/>
  <c r="BF17" i="3"/>
  <c r="BF16" i="3"/>
  <c r="BF15" i="3"/>
  <c r="BF13" i="3"/>
  <c r="BF12" i="3"/>
  <c r="BF10" i="3"/>
  <c r="BF9" i="3"/>
  <c r="BF7" i="3"/>
  <c r="BF6" i="3"/>
  <c r="AG33" i="3"/>
  <c r="BE33" i="3" s="1"/>
  <c r="AG8" i="3"/>
  <c r="BF8" i="3" l="1"/>
  <c r="BF11" i="3" s="1"/>
  <c r="BF14" i="3" s="1"/>
  <c r="BF18" i="3" s="1"/>
  <c r="BF21" i="3" s="1"/>
  <c r="BE49" i="6"/>
  <c r="AG11" i="3"/>
  <c r="BE8" i="3"/>
  <c r="BL24" i="4"/>
  <c r="BJ42" i="4" l="1"/>
  <c r="BC42" i="4" s="1"/>
  <c r="BE24" i="4"/>
  <c r="AG14" i="3"/>
  <c r="BE11" i="3"/>
  <c r="BL25" i="4"/>
  <c r="AG59" i="9"/>
  <c r="AG49" i="9"/>
  <c r="AG39" i="9"/>
  <c r="AG41" i="9" s="1"/>
  <c r="BL35" i="4" s="1"/>
  <c r="BE35" i="4" s="1"/>
  <c r="AG31" i="9"/>
  <c r="BL34" i="4" s="1"/>
  <c r="BE34" i="4" s="1"/>
  <c r="AG17" i="9"/>
  <c r="BL33" i="4" s="1"/>
  <c r="BE33" i="4" s="1"/>
  <c r="BJ43" i="4" l="1"/>
  <c r="BC43" i="4" s="1"/>
  <c r="BE25" i="4"/>
  <c r="AG60" i="9"/>
  <c r="BL37" i="4" s="1"/>
  <c r="BE37" i="4" s="1"/>
  <c r="BL36" i="4"/>
  <c r="BE36" i="4" s="1"/>
  <c r="AG18" i="3"/>
  <c r="BE14" i="3"/>
  <c r="BL26" i="4"/>
  <c r="BE26" i="4" s="1"/>
  <c r="AG32" i="9"/>
  <c r="BL32" i="4" s="1"/>
  <c r="BE32" i="4" s="1"/>
  <c r="AG61" i="9" l="1"/>
  <c r="BJ44" i="4"/>
  <c r="BC44" i="4" s="1"/>
  <c r="BL28" i="4"/>
  <c r="AG21" i="3"/>
  <c r="BE18" i="3"/>
  <c r="BL29" i="4"/>
  <c r="BL45" i="22"/>
  <c r="BE45" i="22" s="1"/>
  <c r="BL42" i="22"/>
  <c r="BE42" i="22" s="1"/>
  <c r="BJ46" i="4" l="1"/>
  <c r="BC46" i="4" s="1"/>
  <c r="BE28" i="4"/>
  <c r="BJ47" i="4"/>
  <c r="BC47" i="4" s="1"/>
  <c r="BE29" i="4"/>
  <c r="BE21" i="3"/>
  <c r="BL30" i="4"/>
  <c r="AG34" i="3"/>
  <c r="AG23" i="3"/>
  <c r="BL28" i="22"/>
  <c r="BZ48" i="22"/>
  <c r="BP48" i="22"/>
  <c r="BI48" i="22" s="1"/>
  <c r="BZ47" i="22"/>
  <c r="BP47" i="22"/>
  <c r="BI47" i="22" s="1"/>
  <c r="CO46" i="22"/>
  <c r="CN46" i="22"/>
  <c r="CM46" i="22"/>
  <c r="CL46" i="22"/>
  <c r="CK46" i="22"/>
  <c r="CJ46" i="22"/>
  <c r="CI46" i="22"/>
  <c r="CH46" i="22"/>
  <c r="CG46" i="22"/>
  <c r="CF46" i="22"/>
  <c r="CE46" i="22"/>
  <c r="CD46" i="22"/>
  <c r="CC46" i="22"/>
  <c r="CB45" i="22"/>
  <c r="CA45" i="22"/>
  <c r="BZ45" i="22"/>
  <c r="BP45" i="22"/>
  <c r="BI45" i="22" s="1"/>
  <c r="BN45" i="22"/>
  <c r="BG45" i="22" s="1"/>
  <c r="BZ44" i="22"/>
  <c r="BP44" i="22"/>
  <c r="BI44" i="22" s="1"/>
  <c r="BZ43" i="22"/>
  <c r="BP43" i="22"/>
  <c r="BI43" i="22" s="1"/>
  <c r="BZ42" i="22"/>
  <c r="BP42" i="22"/>
  <c r="BI42" i="22" s="1"/>
  <c r="BZ41" i="22"/>
  <c r="BP41" i="22"/>
  <c r="BI41" i="22" s="1"/>
  <c r="CB37" i="22"/>
  <c r="CA37" i="22"/>
  <c r="BZ37" i="22"/>
  <c r="BX37" i="22"/>
  <c r="BY37" i="22" s="1"/>
  <c r="BV37" i="22"/>
  <c r="BT37" i="22"/>
  <c r="BN37" i="22"/>
  <c r="BG37" i="22" s="1"/>
  <c r="CB36" i="22"/>
  <c r="CA36" i="22"/>
  <c r="BZ36" i="22"/>
  <c r="BS36" i="22" s="1"/>
  <c r="BX36" i="22"/>
  <c r="BY36" i="22" s="1"/>
  <c r="BV36" i="22"/>
  <c r="BT36" i="22"/>
  <c r="BN36" i="22"/>
  <c r="BG36" i="22" s="1"/>
  <c r="CB35" i="22"/>
  <c r="CA35" i="22"/>
  <c r="BZ35" i="22"/>
  <c r="BS35" i="22" s="1"/>
  <c r="BX35" i="22"/>
  <c r="BQ35" i="22" s="1"/>
  <c r="BV35" i="22"/>
  <c r="BT35" i="22"/>
  <c r="BN35" i="22"/>
  <c r="BG35" i="22" s="1"/>
  <c r="CB34" i="22"/>
  <c r="CA34" i="22"/>
  <c r="BZ34" i="22"/>
  <c r="BS34" i="22" s="1"/>
  <c r="BX34" i="22"/>
  <c r="BQ34" i="22" s="1"/>
  <c r="BV34" i="22"/>
  <c r="BT34" i="22"/>
  <c r="BM34" i="22" s="1"/>
  <c r="BN34" i="22"/>
  <c r="BG34" i="22" s="1"/>
  <c r="CB33" i="22"/>
  <c r="CA33" i="22"/>
  <c r="BZ33" i="22"/>
  <c r="BX33" i="22"/>
  <c r="BY33" i="22" s="1"/>
  <c r="BV33" i="22"/>
  <c r="BT33" i="22"/>
  <c r="BN33" i="22"/>
  <c r="BG33" i="22" s="1"/>
  <c r="CB32" i="22"/>
  <c r="CA32" i="22"/>
  <c r="BZ32" i="22"/>
  <c r="BS32" i="22" s="1"/>
  <c r="BX32" i="22"/>
  <c r="BY32" i="22" s="1"/>
  <c r="BV32" i="22"/>
  <c r="BT32" i="22"/>
  <c r="BN32" i="22"/>
  <c r="BG32" i="22" s="1"/>
  <c r="CB30" i="22"/>
  <c r="CB48" i="22" s="1"/>
  <c r="CA30" i="22"/>
  <c r="BZ30" i="22"/>
  <c r="BS30" i="22" s="1"/>
  <c r="BX30" i="22"/>
  <c r="BX48" i="22" s="1"/>
  <c r="BV30" i="22"/>
  <c r="BT30" i="22"/>
  <c r="BN30" i="22"/>
  <c r="BG30" i="22" s="1"/>
  <c r="CB29" i="22"/>
  <c r="CB47" i="22" s="1"/>
  <c r="CA29" i="22"/>
  <c r="BZ29" i="22"/>
  <c r="BS29" i="22" s="1"/>
  <c r="BX29" i="22"/>
  <c r="BQ29" i="22" s="1"/>
  <c r="BV29" i="22"/>
  <c r="BT29" i="22"/>
  <c r="BN29" i="22"/>
  <c r="BG29" i="22" s="1"/>
  <c r="CO28" i="22"/>
  <c r="CN28" i="22"/>
  <c r="CM28" i="22"/>
  <c r="CL28" i="22"/>
  <c r="CK28" i="22"/>
  <c r="CJ28" i="22"/>
  <c r="CI28" i="22"/>
  <c r="CH28" i="22"/>
  <c r="CG28" i="22"/>
  <c r="CF28" i="22"/>
  <c r="CE28" i="22"/>
  <c r="CD28" i="22"/>
  <c r="CC28" i="22"/>
  <c r="BR28" i="22"/>
  <c r="BK28" i="22" s="1"/>
  <c r="BP28" i="22"/>
  <c r="BI28" i="22" s="1"/>
  <c r="BX27" i="22"/>
  <c r="BQ27" i="22" s="1"/>
  <c r="BV27" i="22"/>
  <c r="BW27" i="22" s="1"/>
  <c r="BT27" i="22"/>
  <c r="BS27" i="22"/>
  <c r="CB26" i="22"/>
  <c r="CB28" i="22" s="1"/>
  <c r="CA26" i="22"/>
  <c r="CA28" i="22" s="1"/>
  <c r="BZ26" i="22"/>
  <c r="BZ28" i="22" s="1"/>
  <c r="BX26" i="22"/>
  <c r="BV26" i="22"/>
  <c r="BW26" i="22" s="1"/>
  <c r="BT26" i="22"/>
  <c r="BN26" i="22"/>
  <c r="BG26" i="22" s="1"/>
  <c r="CB25" i="22"/>
  <c r="CB43" i="22" s="1"/>
  <c r="CA25" i="22"/>
  <c r="BZ25" i="22"/>
  <c r="BS25" i="22" s="1"/>
  <c r="BX25" i="22"/>
  <c r="BX43" i="22" s="1"/>
  <c r="BT25" i="22"/>
  <c r="BN25" i="22"/>
  <c r="BG25" i="22" s="1"/>
  <c r="CB24" i="22"/>
  <c r="CB42" i="22" s="1"/>
  <c r="CA24" i="22"/>
  <c r="BZ24" i="22"/>
  <c r="BS24" i="22" s="1"/>
  <c r="BX24" i="22"/>
  <c r="BV42" i="22" s="1"/>
  <c r="BT24" i="22"/>
  <c r="BN42" i="22"/>
  <c r="BG42" i="22" s="1"/>
  <c r="CB23" i="22"/>
  <c r="CB41" i="22" s="1"/>
  <c r="CA23" i="22"/>
  <c r="BZ23" i="22"/>
  <c r="BS23" i="22" s="1"/>
  <c r="BX23" i="22"/>
  <c r="BV41" i="22" s="1"/>
  <c r="BT23" i="22"/>
  <c r="BN23" i="22"/>
  <c r="BG23" i="22" s="1"/>
  <c r="Y19" i="22"/>
  <c r="W19" i="22"/>
  <c r="U19" i="22"/>
  <c r="S19" i="22"/>
  <c r="Y18" i="22"/>
  <c r="W18" i="22"/>
  <c r="U18" i="22"/>
  <c r="S18" i="22"/>
  <c r="Y17" i="22"/>
  <c r="W17" i="22"/>
  <c r="U17" i="22"/>
  <c r="S17" i="22"/>
  <c r="Y16" i="22"/>
  <c r="W16" i="22"/>
  <c r="U16" i="22"/>
  <c r="S16" i="22"/>
  <c r="Y15" i="22"/>
  <c r="W15" i="22"/>
  <c r="U15" i="22"/>
  <c r="S15" i="22"/>
  <c r="Y14" i="22"/>
  <c r="W14" i="22"/>
  <c r="U14" i="22"/>
  <c r="S14" i="22"/>
  <c r="Y12" i="22"/>
  <c r="W12" i="22"/>
  <c r="U12" i="22"/>
  <c r="S12" i="22"/>
  <c r="Y11" i="22"/>
  <c r="W11" i="22"/>
  <c r="U11" i="22"/>
  <c r="S11" i="22"/>
  <c r="Y10" i="22"/>
  <c r="V10" i="22"/>
  <c r="W10" i="22" s="1"/>
  <c r="T10" i="22"/>
  <c r="R10" i="22"/>
  <c r="Q10" i="22" s="1"/>
  <c r="Y9" i="22"/>
  <c r="W9" i="22"/>
  <c r="U9" i="22"/>
  <c r="S9" i="22"/>
  <c r="Y8" i="22"/>
  <c r="W8" i="22"/>
  <c r="U8" i="22"/>
  <c r="S8" i="22"/>
  <c r="Y7" i="22"/>
  <c r="W7" i="22"/>
  <c r="U7" i="22"/>
  <c r="S7" i="22"/>
  <c r="Y6" i="22"/>
  <c r="W6" i="22"/>
  <c r="U6" i="22"/>
  <c r="S6" i="22"/>
  <c r="Y5" i="22"/>
  <c r="W5" i="22"/>
  <c r="U5" i="22"/>
  <c r="S5" i="22"/>
  <c r="BW30" i="22" l="1"/>
  <c r="BW35" i="22"/>
  <c r="BW36" i="22"/>
  <c r="BM30" i="22"/>
  <c r="BU30" i="22"/>
  <c r="BJ46" i="22"/>
  <c r="BC46" i="22" s="1"/>
  <c r="BE28" i="22"/>
  <c r="BJ48" i="4"/>
  <c r="BC48" i="4" s="1"/>
  <c r="BE30" i="4"/>
  <c r="BN41" i="22"/>
  <c r="BG41" i="22" s="1"/>
  <c r="BF23" i="3"/>
  <c r="BE23" i="3"/>
  <c r="AG36" i="3"/>
  <c r="BE34" i="3"/>
  <c r="BW37" i="22"/>
  <c r="BN28" i="22"/>
  <c r="BG28" i="22" s="1"/>
  <c r="BL44" i="22"/>
  <c r="BE44" i="22" s="1"/>
  <c r="BU33" i="22"/>
  <c r="BM33" i="22"/>
  <c r="BR42" i="22"/>
  <c r="BK42" i="22" s="1"/>
  <c r="BM24" i="22"/>
  <c r="BR44" i="22"/>
  <c r="BM26" i="22"/>
  <c r="BN48" i="22"/>
  <c r="BG48" i="22" s="1"/>
  <c r="BL48" i="22"/>
  <c r="BE48" i="22" s="1"/>
  <c r="BU32" i="22"/>
  <c r="BM32" i="22"/>
  <c r="BU36" i="22"/>
  <c r="BM36" i="22"/>
  <c r="BR45" i="22"/>
  <c r="BM27" i="22"/>
  <c r="BL41" i="22"/>
  <c r="BN43" i="22"/>
  <c r="BG43" i="22" s="1"/>
  <c r="BL43" i="22"/>
  <c r="BE43" i="22" s="1"/>
  <c r="BN47" i="22"/>
  <c r="BG47" i="22" s="1"/>
  <c r="BL47" i="22"/>
  <c r="BE47" i="22" s="1"/>
  <c r="BU35" i="22"/>
  <c r="BM35" i="22"/>
  <c r="BU37" i="22"/>
  <c r="BM37" i="22"/>
  <c r="BR41" i="22"/>
  <c r="BM23" i="22"/>
  <c r="BT43" i="22"/>
  <c r="BM25" i="22"/>
  <c r="BR47" i="22"/>
  <c r="BM29" i="22"/>
  <c r="BW29" i="22"/>
  <c r="BW25" i="22"/>
  <c r="BW24" i="22"/>
  <c r="BW23" i="22"/>
  <c r="BO30" i="22"/>
  <c r="S10" i="22"/>
  <c r="BQ33" i="22"/>
  <c r="BO42" i="22"/>
  <c r="BO36" i="22"/>
  <c r="BQ32" i="22"/>
  <c r="BS26" i="22"/>
  <c r="BW41" i="22"/>
  <c r="BU24" i="22"/>
  <c r="BO34" i="22"/>
  <c r="BO23" i="22"/>
  <c r="BO25" i="22"/>
  <c r="BO32" i="22"/>
  <c r="BY34" i="22"/>
  <c r="BQ37" i="22"/>
  <c r="CA41" i="22"/>
  <c r="BQ24" i="22"/>
  <c r="BY24" i="22"/>
  <c r="BQ25" i="22"/>
  <c r="CA43" i="22"/>
  <c r="BX28" i="22"/>
  <c r="BY28" i="22" s="1"/>
  <c r="BV45" i="22"/>
  <c r="BO45" i="22" s="1"/>
  <c r="BU34" i="22"/>
  <c r="BP46" i="22"/>
  <c r="BI46" i="22" s="1"/>
  <c r="BQ23" i="22"/>
  <c r="BY23" i="22"/>
  <c r="BO24" i="22"/>
  <c r="BU29" i="22"/>
  <c r="BW32" i="22"/>
  <c r="BO33" i="22"/>
  <c r="BO37" i="22"/>
  <c r="CA42" i="22"/>
  <c r="BZ46" i="22"/>
  <c r="U10" i="22"/>
  <c r="BU23" i="22"/>
  <c r="BT44" i="22"/>
  <c r="BV47" i="22"/>
  <c r="BW34" i="22"/>
  <c r="BO35" i="22"/>
  <c r="BQ36" i="22"/>
  <c r="BT42" i="22"/>
  <c r="BM42" i="22" s="1"/>
  <c r="BN44" i="22"/>
  <c r="BG44" i="22" s="1"/>
  <c r="CB44" i="22"/>
  <c r="CB46" i="22" s="1"/>
  <c r="BT47" i="22"/>
  <c r="BO26" i="22"/>
  <c r="BT48" i="22"/>
  <c r="CA48" i="22"/>
  <c r="BX42" i="22"/>
  <c r="BY42" i="22" s="1"/>
  <c r="BQ43" i="22"/>
  <c r="BY43" i="22"/>
  <c r="BS28" i="22"/>
  <c r="BW42" i="22"/>
  <c r="BY48" i="22"/>
  <c r="BQ48" i="22"/>
  <c r="BV44" i="22"/>
  <c r="CA47" i="22"/>
  <c r="BY25" i="22"/>
  <c r="BY26" i="22"/>
  <c r="BO27" i="22"/>
  <c r="BU27" i="22"/>
  <c r="BY27" i="22"/>
  <c r="BY29" i="22"/>
  <c r="BY30" i="22"/>
  <c r="BS33" i="22"/>
  <c r="BW33" i="22"/>
  <c r="BY35" i="22"/>
  <c r="BS37" i="22"/>
  <c r="BT41" i="22"/>
  <c r="BX41" i="22"/>
  <c r="BY41" i="22" s="1"/>
  <c r="BR43" i="22"/>
  <c r="BV43" i="22"/>
  <c r="BW43" i="22" s="1"/>
  <c r="BT45" i="22"/>
  <c r="BX45" i="22"/>
  <c r="BY45" i="22" s="1"/>
  <c r="BR48" i="22"/>
  <c r="BV48" i="22"/>
  <c r="BW48" i="22" s="1"/>
  <c r="BT28" i="22"/>
  <c r="BU28" i="22" s="1"/>
  <c r="BX47" i="22"/>
  <c r="BY47" i="22" s="1"/>
  <c r="BU26" i="22"/>
  <c r="BV28" i="22"/>
  <c r="BW28" i="22" s="1"/>
  <c r="BO29" i="22"/>
  <c r="BX44" i="22"/>
  <c r="CA44" i="22"/>
  <c r="BU25" i="22"/>
  <c r="BQ26" i="22"/>
  <c r="BQ30" i="22"/>
  <c r="BO47" i="22" l="1"/>
  <c r="BN46" i="22"/>
  <c r="BG46" i="22" s="1"/>
  <c r="BO41" i="22"/>
  <c r="BM41" i="22"/>
  <c r="BE41" i="22"/>
  <c r="BS42" i="22"/>
  <c r="BF36" i="3"/>
  <c r="BE36" i="3"/>
  <c r="BU43" i="22"/>
  <c r="BS48" i="22"/>
  <c r="BK48" i="22"/>
  <c r="BS43" i="22"/>
  <c r="BK43" i="22"/>
  <c r="BS47" i="22"/>
  <c r="BK47" i="22"/>
  <c r="BS41" i="22"/>
  <c r="BK41" i="22"/>
  <c r="BS45" i="22"/>
  <c r="BK45" i="22"/>
  <c r="BS44" i="22"/>
  <c r="BK44" i="22"/>
  <c r="BM48" i="22"/>
  <c r="BM47" i="22"/>
  <c r="BU45" i="22"/>
  <c r="BM45" i="22"/>
  <c r="BM44" i="22"/>
  <c r="BL46" i="22"/>
  <c r="BE46" i="22" s="1"/>
  <c r="BM43" i="22"/>
  <c r="BM28" i="22"/>
  <c r="BW44" i="22"/>
  <c r="BW45" i="22"/>
  <c r="BU42" i="22"/>
  <c r="BU41" i="22"/>
  <c r="BW47" i="22"/>
  <c r="BV46" i="22"/>
  <c r="BW46" i="22" s="1"/>
  <c r="BQ28" i="22"/>
  <c r="BT46" i="22"/>
  <c r="BU44" i="22"/>
  <c r="BR46" i="22"/>
  <c r="BQ42" i="22"/>
  <c r="BU48" i="22"/>
  <c r="BO48" i="22"/>
  <c r="BO28" i="22"/>
  <c r="BQ41" i="22"/>
  <c r="BY44" i="22"/>
  <c r="BX46" i="22"/>
  <c r="BO43" i="22"/>
  <c r="BQ47" i="22"/>
  <c r="BQ44" i="22"/>
  <c r="CA46" i="22"/>
  <c r="BO44" i="22"/>
  <c r="BU47" i="22"/>
  <c r="BQ45" i="22"/>
  <c r="BS46" i="22" l="1"/>
  <c r="BK46" i="22"/>
  <c r="BM46" i="22"/>
  <c r="BO46" i="22"/>
  <c r="BY46" i="22"/>
  <c r="BQ46" i="22"/>
  <c r="BU46" i="22"/>
  <c r="BN23" i="4" l="1"/>
  <c r="BG23" i="4" s="1"/>
  <c r="AH43" i="21"/>
  <c r="AH42" i="21"/>
  <c r="AH31" i="21"/>
  <c r="AH30" i="21"/>
  <c r="AH19" i="21"/>
  <c r="AH18" i="21"/>
  <c r="AH7" i="21"/>
  <c r="AH6" i="21"/>
  <c r="AH44" i="5"/>
  <c r="AH32" i="5"/>
  <c r="AH20" i="5"/>
  <c r="AH8" i="5"/>
  <c r="BL41" i="4" l="1"/>
  <c r="BE41" i="4" s="1"/>
  <c r="AH8" i="21"/>
  <c r="AH20" i="21"/>
  <c r="AH32" i="21"/>
  <c r="AH44" i="21"/>
  <c r="AH48" i="5"/>
  <c r="AH36" i="5"/>
  <c r="AH24" i="5"/>
  <c r="AH12" i="5"/>
  <c r="AH48" i="21" l="1"/>
  <c r="AH36" i="21"/>
  <c r="AH12" i="21"/>
  <c r="AH24" i="21"/>
  <c r="G42" i="7"/>
  <c r="G41" i="7"/>
  <c r="AH45" i="6"/>
  <c r="AH36" i="6"/>
  <c r="AH8" i="6"/>
  <c r="BG7" i="6"/>
  <c r="BG48" i="6"/>
  <c r="BG44" i="6"/>
  <c r="BG43" i="6"/>
  <c r="BG42" i="6"/>
  <c r="BG41" i="6"/>
  <c r="BG40" i="6"/>
  <c r="BG39" i="6"/>
  <c r="BG35" i="6"/>
  <c r="BG34" i="6"/>
  <c r="BG33" i="6"/>
  <c r="BG32" i="6"/>
  <c r="BG31" i="6"/>
  <c r="BG30" i="6"/>
  <c r="BG29" i="6"/>
  <c r="BG28" i="6"/>
  <c r="BG27" i="6"/>
  <c r="BG23" i="6"/>
  <c r="BG22" i="6"/>
  <c r="BG20" i="6"/>
  <c r="BG19" i="6"/>
  <c r="BG18" i="6"/>
  <c r="BG17" i="6"/>
  <c r="BG16" i="6"/>
  <c r="BG15" i="6"/>
  <c r="BG14" i="6"/>
  <c r="BG13" i="6"/>
  <c r="BG12" i="6"/>
  <c r="BG11" i="6"/>
  <c r="BG10" i="6"/>
  <c r="AH31" i="3"/>
  <c r="BG32" i="3"/>
  <c r="BG30" i="3"/>
  <c r="BG29" i="3"/>
  <c r="BG27" i="3"/>
  <c r="BG26" i="3"/>
  <c r="BG20" i="3"/>
  <c r="BG19" i="3"/>
  <c r="BG17" i="3"/>
  <c r="BG16" i="3"/>
  <c r="BG15" i="3"/>
  <c r="BG13" i="3"/>
  <c r="BG12" i="3"/>
  <c r="BG10" i="3"/>
  <c r="BG9" i="3"/>
  <c r="BG7" i="3"/>
  <c r="BG6" i="3"/>
  <c r="AH8" i="3"/>
  <c r="BG31" i="3" l="1"/>
  <c r="BF31" i="3"/>
  <c r="BF33" i="3" s="1"/>
  <c r="BF34" i="3" s="1"/>
  <c r="AH33" i="3"/>
  <c r="AH11" i="3"/>
  <c r="BN25" i="4" s="1"/>
  <c r="BN24" i="4"/>
  <c r="AH24" i="6"/>
  <c r="BG9" i="6"/>
  <c r="AH37" i="9"/>
  <c r="D42" i="7" s="1"/>
  <c r="BL42" i="4" l="1"/>
  <c r="BE42" i="4" s="1"/>
  <c r="BG24" i="4"/>
  <c r="BL43" i="4"/>
  <c r="BE43" i="4" s="1"/>
  <c r="BG25" i="4"/>
  <c r="AH14" i="3"/>
  <c r="BN26" i="4" s="1"/>
  <c r="BG26" i="4" s="1"/>
  <c r="AH47" i="6"/>
  <c r="AH18" i="3" l="1"/>
  <c r="BN29" i="4" s="1"/>
  <c r="BL47" i="4" s="1"/>
  <c r="BE47" i="4" s="1"/>
  <c r="BN28" i="4"/>
  <c r="BG28" i="4" s="1"/>
  <c r="BL44" i="4"/>
  <c r="BE44" i="4" s="1"/>
  <c r="AH49" i="6"/>
  <c r="AH21" i="3" l="1"/>
  <c r="BN30" i="4" s="1"/>
  <c r="BL48" i="4" s="1"/>
  <c r="BE48" i="4" s="1"/>
  <c r="BG29" i="4"/>
  <c r="BL46" i="4"/>
  <c r="BE46" i="4" s="1"/>
  <c r="AH34" i="3" l="1"/>
  <c r="AH35" i="3" s="1"/>
  <c r="BG30" i="4"/>
  <c r="AH22" i="3"/>
  <c r="BG22" i="3" s="1"/>
  <c r="BF22" i="3" l="1"/>
  <c r="BG35" i="3"/>
  <c r="BF35" i="3"/>
  <c r="AH59" i="9"/>
  <c r="BN37" i="4" s="1"/>
  <c r="BG37" i="4" s="1"/>
  <c r="AH49" i="9"/>
  <c r="BN36" i="4" s="1"/>
  <c r="BG36" i="4" s="1"/>
  <c r="AH39" i="9"/>
  <c r="AH41" i="9" s="1"/>
  <c r="BN35" i="4" s="1"/>
  <c r="BG35" i="4" s="1"/>
  <c r="AH31" i="9"/>
  <c r="BN34" i="4" s="1"/>
  <c r="BG34" i="4" s="1"/>
  <c r="AH17" i="9"/>
  <c r="BN33" i="4" s="1"/>
  <c r="BG33" i="4" s="1"/>
  <c r="AH32" i="9" l="1"/>
  <c r="BN32" i="4" s="1"/>
  <c r="BG32" i="4" s="1"/>
  <c r="AH60" i="9"/>
  <c r="AH61" i="9" s="1"/>
  <c r="BP27" i="4"/>
  <c r="BI27" i="4" s="1"/>
  <c r="BP23" i="4"/>
  <c r="AI43" i="21"/>
  <c r="AI42" i="21"/>
  <c r="AI31" i="21"/>
  <c r="AI30" i="21"/>
  <c r="AI19" i="21"/>
  <c r="AI18" i="21"/>
  <c r="AI7" i="21"/>
  <c r="AI6" i="21"/>
  <c r="AI44" i="5"/>
  <c r="AI32" i="5"/>
  <c r="AI20" i="5"/>
  <c r="AI8" i="5"/>
  <c r="BI23" i="4" l="1"/>
  <c r="BN41" i="4"/>
  <c r="BG41" i="4" s="1"/>
  <c r="AI8" i="21"/>
  <c r="AI20" i="21"/>
  <c r="AI32" i="21"/>
  <c r="AI44" i="21"/>
  <c r="BP41" i="4"/>
  <c r="BI41" i="4" s="1"/>
  <c r="BP45" i="4"/>
  <c r="BI45" i="4" s="1"/>
  <c r="BN45" i="4"/>
  <c r="BG45" i="4" s="1"/>
  <c r="AI36" i="5"/>
  <c r="AI48" i="5"/>
  <c r="AI24" i="5"/>
  <c r="AI12" i="5"/>
  <c r="AI36" i="21" l="1"/>
  <c r="AI12" i="21"/>
  <c r="AI24" i="21"/>
  <c r="AI48" i="21"/>
  <c r="BH48" i="6"/>
  <c r="BH44" i="6"/>
  <c r="BH43" i="6"/>
  <c r="BH42" i="6"/>
  <c r="BH41" i="6"/>
  <c r="BH40" i="6"/>
  <c r="BH39" i="6"/>
  <c r="BH35" i="6"/>
  <c r="BH34" i="6"/>
  <c r="BH33" i="6"/>
  <c r="BH32" i="6"/>
  <c r="BH31" i="6"/>
  <c r="BH30" i="6"/>
  <c r="BH29" i="6"/>
  <c r="BH28" i="6"/>
  <c r="BH27" i="6"/>
  <c r="BH10" i="6"/>
  <c r="BH11" i="6"/>
  <c r="BH12" i="6"/>
  <c r="BH13" i="6"/>
  <c r="BH14" i="6"/>
  <c r="BH15" i="6"/>
  <c r="BH16" i="6"/>
  <c r="BH17" i="6"/>
  <c r="BH18" i="6"/>
  <c r="BH19" i="6"/>
  <c r="BH20" i="6"/>
  <c r="BH22" i="6"/>
  <c r="BH23" i="6"/>
  <c r="BH9" i="6"/>
  <c r="BH7" i="6"/>
  <c r="AI45" i="6"/>
  <c r="BG45" i="6" s="1"/>
  <c r="AI36" i="6"/>
  <c r="BG36" i="6" s="1"/>
  <c r="AI8" i="6"/>
  <c r="BH35" i="3"/>
  <c r="BH32" i="3"/>
  <c r="BH31" i="3"/>
  <c r="BH29" i="3"/>
  <c r="BH22" i="3"/>
  <c r="BH20" i="3"/>
  <c r="BH19" i="3"/>
  <c r="BH17" i="3"/>
  <c r="BH16" i="3"/>
  <c r="BH15" i="3"/>
  <c r="BH13" i="3"/>
  <c r="BH12" i="3"/>
  <c r="BH10" i="3"/>
  <c r="BH9" i="3"/>
  <c r="BH7" i="3"/>
  <c r="BH6" i="3"/>
  <c r="AI33" i="3"/>
  <c r="BG33" i="3" s="1"/>
  <c r="AI8" i="3"/>
  <c r="BH8" i="3" l="1"/>
  <c r="BH11" i="3" s="1"/>
  <c r="BH14" i="3" s="1"/>
  <c r="BH18" i="3" s="1"/>
  <c r="BH21" i="3" s="1"/>
  <c r="BH23" i="3" s="1"/>
  <c r="AI24" i="6"/>
  <c r="BG24" i="6" s="1"/>
  <c r="BG8" i="6"/>
  <c r="AI11" i="3"/>
  <c r="BG8" i="3"/>
  <c r="BP24" i="4"/>
  <c r="BI24" i="4" s="1"/>
  <c r="BH45" i="6"/>
  <c r="BH36" i="6"/>
  <c r="BH8" i="6"/>
  <c r="BH24" i="6" s="1"/>
  <c r="BH33" i="3"/>
  <c r="AI47" i="6" l="1"/>
  <c r="AI49" i="6" s="1"/>
  <c r="BG49" i="6" s="1"/>
  <c r="AI14" i="3"/>
  <c r="BG11" i="3"/>
  <c r="BP25" i="4"/>
  <c r="BI25" i="4" s="1"/>
  <c r="BP42" i="4"/>
  <c r="BI42" i="4" s="1"/>
  <c r="BN42" i="4"/>
  <c r="BG42" i="4" s="1"/>
  <c r="BH47" i="6"/>
  <c r="BH49" i="6" s="1"/>
  <c r="BH34" i="3"/>
  <c r="BH36" i="3" s="1"/>
  <c r="BG47" i="6" l="1"/>
  <c r="AI18" i="3"/>
  <c r="BG14" i="3"/>
  <c r="BP26" i="4"/>
  <c r="BI26" i="4" s="1"/>
  <c r="BP43" i="4"/>
  <c r="BI43" i="4" s="1"/>
  <c r="BN43" i="4"/>
  <c r="BG43" i="4" s="1"/>
  <c r="AI37" i="9"/>
  <c r="D41" i="7" s="1"/>
  <c r="BP44" i="4" l="1"/>
  <c r="BN44" i="4"/>
  <c r="BG44" i="4" s="1"/>
  <c r="BP28" i="4"/>
  <c r="AI21" i="3"/>
  <c r="BG18" i="3"/>
  <c r="BP29" i="4"/>
  <c r="BI29" i="4" s="1"/>
  <c r="AI59" i="9"/>
  <c r="BP37" i="4" s="1"/>
  <c r="BI37" i="4" s="1"/>
  <c r="AI49" i="9"/>
  <c r="BP36" i="4" s="1"/>
  <c r="BI36" i="4" s="1"/>
  <c r="AI39" i="9"/>
  <c r="AI41" i="9" s="1"/>
  <c r="BP35" i="4" s="1"/>
  <c r="BI35" i="4" s="1"/>
  <c r="AI31" i="9"/>
  <c r="BP34" i="4" s="1"/>
  <c r="BI34" i="4" s="1"/>
  <c r="AI17" i="9"/>
  <c r="BP33" i="4" s="1"/>
  <c r="BI33" i="4" s="1"/>
  <c r="BP46" i="4" l="1"/>
  <c r="BI46" i="4" s="1"/>
  <c r="BI44" i="4"/>
  <c r="BN46" i="4"/>
  <c r="BG46" i="4" s="1"/>
  <c r="BI28" i="4"/>
  <c r="BP47" i="4"/>
  <c r="BI47" i="4" s="1"/>
  <c r="BN47" i="4"/>
  <c r="BG47" i="4" s="1"/>
  <c r="BG21" i="3"/>
  <c r="BP30" i="4"/>
  <c r="BI30" i="4" s="1"/>
  <c r="AI34" i="3"/>
  <c r="AI23" i="3"/>
  <c r="BG23" i="3" s="1"/>
  <c r="AI60" i="9"/>
  <c r="AI61" i="9" s="1"/>
  <c r="AI32" i="9"/>
  <c r="BP32" i="4" s="1"/>
  <c r="BI32" i="4" s="1"/>
  <c r="BR36" i="4"/>
  <c r="BK36" i="4" s="1"/>
  <c r="BR35" i="4"/>
  <c r="BK35" i="4" s="1"/>
  <c r="BR34" i="4"/>
  <c r="BK34" i="4" s="1"/>
  <c r="BR33" i="4"/>
  <c r="BK33" i="4" s="1"/>
  <c r="BR30" i="4"/>
  <c r="BK30" i="4" s="1"/>
  <c r="BR29" i="4"/>
  <c r="BK29" i="4" s="1"/>
  <c r="BR27" i="4"/>
  <c r="BK27" i="4" s="1"/>
  <c r="BR26" i="4"/>
  <c r="BK26" i="4" s="1"/>
  <c r="BR25" i="4"/>
  <c r="BK25" i="4" s="1"/>
  <c r="BR24" i="4"/>
  <c r="BK24" i="4" s="1"/>
  <c r="BR23" i="4"/>
  <c r="BK23" i="4" s="1"/>
  <c r="R14" i="4"/>
  <c r="R10" i="4"/>
  <c r="Q10" i="4" s="1"/>
  <c r="S18" i="4"/>
  <c r="S17" i="4"/>
  <c r="S16" i="4"/>
  <c r="S15" i="4"/>
  <c r="S12" i="4"/>
  <c r="S11" i="4"/>
  <c r="S9" i="4"/>
  <c r="S8" i="4"/>
  <c r="S6" i="4"/>
  <c r="S5" i="4"/>
  <c r="R19" i="4" l="1"/>
  <c r="Q14" i="4"/>
  <c r="BR32" i="4"/>
  <c r="AI36" i="3"/>
  <c r="BG36" i="3" s="1"/>
  <c r="BG34" i="3"/>
  <c r="BP48" i="4"/>
  <c r="BI48" i="4" s="1"/>
  <c r="BN48" i="4"/>
  <c r="BG48" i="4" s="1"/>
  <c r="S14" i="4"/>
  <c r="BR28" i="4"/>
  <c r="BK28" i="4" s="1"/>
  <c r="BR37" i="4" l="1"/>
  <c r="BK37" i="4" s="1"/>
  <c r="BK32" i="4"/>
  <c r="S19" i="4"/>
  <c r="Q19" i="4"/>
  <c r="AJ43" i="21"/>
  <c r="AJ19" i="21"/>
  <c r="AJ18" i="21"/>
  <c r="AJ7" i="21"/>
  <c r="AJ6" i="21"/>
  <c r="AJ42" i="5"/>
  <c r="AJ31" i="5"/>
  <c r="AJ30" i="5"/>
  <c r="AJ8" i="21" l="1"/>
  <c r="AJ20" i="21"/>
  <c r="AJ44" i="5"/>
  <c r="AJ32" i="5"/>
  <c r="AJ20" i="5"/>
  <c r="AJ8" i="5"/>
  <c r="H41" i="7" l="1"/>
  <c r="AJ24" i="21"/>
  <c r="AJ12" i="21"/>
  <c r="AJ48" i="5"/>
  <c r="AJ36" i="5"/>
  <c r="AJ24" i="5"/>
  <c r="AJ12" i="5"/>
  <c r="H40" i="7" l="1"/>
  <c r="AJ50" i="6"/>
  <c r="AJ45" i="6"/>
  <c r="AJ36" i="6"/>
  <c r="AJ8" i="6"/>
  <c r="BI48" i="6"/>
  <c r="BI44" i="6"/>
  <c r="BI43" i="6"/>
  <c r="BI42" i="6"/>
  <c r="BI41" i="6"/>
  <c r="BI40" i="6"/>
  <c r="BI39" i="6"/>
  <c r="BI35" i="6"/>
  <c r="BI34" i="6"/>
  <c r="BI33" i="6"/>
  <c r="BI32" i="6"/>
  <c r="BI31" i="6"/>
  <c r="BI30" i="6"/>
  <c r="BI29" i="6"/>
  <c r="BI28" i="6"/>
  <c r="BI27" i="6"/>
  <c r="BI23" i="6"/>
  <c r="BI22" i="6"/>
  <c r="BI20" i="6"/>
  <c r="BI19" i="6"/>
  <c r="BI18" i="6"/>
  <c r="BI17" i="6"/>
  <c r="BI16" i="6"/>
  <c r="BI15" i="6"/>
  <c r="BI14" i="6"/>
  <c r="BI13" i="6"/>
  <c r="BI12" i="6"/>
  <c r="BI11" i="6"/>
  <c r="BI10" i="6"/>
  <c r="BI9" i="6"/>
  <c r="AJ8" i="3"/>
  <c r="BI6" i="3"/>
  <c r="BI32" i="3"/>
  <c r="BI31" i="3"/>
  <c r="BI30" i="3"/>
  <c r="BI29" i="3"/>
  <c r="BI27" i="3"/>
  <c r="BI26" i="3"/>
  <c r="BI20" i="3"/>
  <c r="BI19" i="3"/>
  <c r="BI17" i="3"/>
  <c r="BI16" i="3"/>
  <c r="BI15" i="3"/>
  <c r="BI13" i="3"/>
  <c r="BI12" i="3"/>
  <c r="BI10" i="3"/>
  <c r="BI9" i="3"/>
  <c r="BI7" i="3"/>
  <c r="AJ33" i="3"/>
  <c r="AJ37" i="9"/>
  <c r="AJ11" i="3" l="1"/>
  <c r="AJ14" i="3" s="1"/>
  <c r="AJ18" i="3" s="1"/>
  <c r="AJ21" i="3" s="1"/>
  <c r="AJ24" i="6"/>
  <c r="AJ34" i="3" l="1"/>
  <c r="AJ35" i="3" s="1"/>
  <c r="BI35" i="3" s="1"/>
  <c r="AJ22" i="3"/>
  <c r="BI22" i="3" s="1"/>
  <c r="AJ47" i="6"/>
  <c r="H43" i="7" l="1"/>
  <c r="H42" i="7"/>
  <c r="AJ49" i="6"/>
  <c r="AJ51" i="6" l="1"/>
  <c r="AI50" i="6" s="1"/>
  <c r="AF50" i="6" s="1"/>
  <c r="AF51" i="6" s="1"/>
  <c r="AE50" i="6" l="1"/>
  <c r="AE51" i="6" s="1"/>
  <c r="AD50" i="6"/>
  <c r="H45" i="7"/>
  <c r="H44" i="7"/>
  <c r="AI51" i="6"/>
  <c r="AH50" i="6"/>
  <c r="AJ59" i="9"/>
  <c r="AJ49" i="9"/>
  <c r="AJ39" i="9"/>
  <c r="AJ41" i="9" s="1"/>
  <c r="AJ31" i="9"/>
  <c r="AJ17" i="9"/>
  <c r="AD51" i="6" l="1"/>
  <c r="AH51" i="6"/>
  <c r="AG50" i="6"/>
  <c r="AG51" i="6" s="1"/>
  <c r="AJ60" i="9"/>
  <c r="AJ61" i="9" s="1"/>
  <c r="AJ32" i="9"/>
  <c r="BT27" i="4"/>
  <c r="BT23" i="4"/>
  <c r="AK43" i="21"/>
  <c r="AK19" i="21"/>
  <c r="AK18" i="21"/>
  <c r="AK7" i="21"/>
  <c r="AK6" i="21"/>
  <c r="AK42" i="5"/>
  <c r="AJ42" i="21" s="1"/>
  <c r="AJ44" i="21" s="1"/>
  <c r="AK31" i="5"/>
  <c r="AJ31" i="21" s="1"/>
  <c r="AK30" i="5"/>
  <c r="AK20" i="5"/>
  <c r="AK8" i="5"/>
  <c r="BR41" i="4" l="1"/>
  <c r="BK41" i="4" s="1"/>
  <c r="BM23" i="4"/>
  <c r="BR45" i="4"/>
  <c r="BK45" i="4" s="1"/>
  <c r="BM27" i="4"/>
  <c r="AK8" i="21"/>
  <c r="AK12" i="5"/>
  <c r="AK44" i="5"/>
  <c r="AK20" i="21"/>
  <c r="AK42" i="21"/>
  <c r="AK44" i="21" s="1"/>
  <c r="AJ48" i="21"/>
  <c r="AK32" i="5"/>
  <c r="AJ30" i="21"/>
  <c r="AJ32" i="21" s="1"/>
  <c r="AK30" i="21"/>
  <c r="AK31" i="21"/>
  <c r="AK24" i="5"/>
  <c r="AK36" i="5" l="1"/>
  <c r="AK48" i="5"/>
  <c r="AK12" i="21"/>
  <c r="AK48" i="21"/>
  <c r="AK24" i="21"/>
  <c r="AJ36" i="21"/>
  <c r="AK32" i="21"/>
  <c r="G39" i="7"/>
  <c r="D39" i="7"/>
  <c r="C39" i="7"/>
  <c r="AK36" i="21" l="1"/>
  <c r="H39" i="7"/>
  <c r="BJ48" i="6" l="1"/>
  <c r="BJ44" i="6"/>
  <c r="BJ43" i="6"/>
  <c r="BJ42" i="6"/>
  <c r="BJ41" i="6"/>
  <c r="BJ40" i="6"/>
  <c r="BJ39" i="6"/>
  <c r="BJ35" i="6"/>
  <c r="BJ34" i="6"/>
  <c r="BJ33" i="6"/>
  <c r="BJ32" i="6"/>
  <c r="BJ31" i="6"/>
  <c r="BJ30" i="6"/>
  <c r="BJ29" i="6"/>
  <c r="BJ28" i="6"/>
  <c r="BJ27" i="6"/>
  <c r="BJ23" i="6"/>
  <c r="BJ22" i="6"/>
  <c r="BJ20" i="6"/>
  <c r="BJ19" i="6"/>
  <c r="BJ18" i="6"/>
  <c r="BJ17" i="6"/>
  <c r="BJ16" i="6"/>
  <c r="BJ15" i="6"/>
  <c r="BJ14" i="6"/>
  <c r="BJ13" i="6"/>
  <c r="BJ12" i="6"/>
  <c r="BJ11" i="6"/>
  <c r="BJ10" i="6"/>
  <c r="AK45" i="6"/>
  <c r="BI45" i="6" s="1"/>
  <c r="AK36" i="6"/>
  <c r="BI36" i="6" s="1"/>
  <c r="AK8" i="6"/>
  <c r="BI8" i="6" l="1"/>
  <c r="BJ45" i="6"/>
  <c r="BJ36" i="6"/>
  <c r="BJ32" i="3" l="1"/>
  <c r="BJ31" i="3"/>
  <c r="BJ29" i="3"/>
  <c r="BJ20" i="3"/>
  <c r="BJ19" i="3"/>
  <c r="BJ17" i="3"/>
  <c r="BJ16" i="3"/>
  <c r="BJ15" i="3"/>
  <c r="BJ13" i="3"/>
  <c r="BJ12" i="3"/>
  <c r="BJ10" i="3"/>
  <c r="BJ9" i="3"/>
  <c r="BJ7" i="3"/>
  <c r="BJ6" i="3"/>
  <c r="AK33" i="3"/>
  <c r="BI33" i="3" s="1"/>
  <c r="AK8" i="3"/>
  <c r="AK11" i="3" l="1"/>
  <c r="BI8" i="3"/>
  <c r="BT24" i="4"/>
  <c r="BJ33" i="3"/>
  <c r="BJ8" i="3"/>
  <c r="BJ11" i="3" s="1"/>
  <c r="BJ14" i="3" s="1"/>
  <c r="BJ18" i="3" s="1"/>
  <c r="BJ21" i="3" s="1"/>
  <c r="BJ34" i="3" l="1"/>
  <c r="BR42" i="4"/>
  <c r="BK42" i="4" s="1"/>
  <c r="BM24" i="4"/>
  <c r="AK14" i="3"/>
  <c r="BI11" i="3"/>
  <c r="BT25" i="4"/>
  <c r="AK59" i="9"/>
  <c r="BT37" i="4" s="1"/>
  <c r="BM37" i="4" s="1"/>
  <c r="AK49" i="9"/>
  <c r="BT36" i="4" s="1"/>
  <c r="BM36" i="4" s="1"/>
  <c r="AK39" i="9"/>
  <c r="AK41" i="9" s="1"/>
  <c r="BT35" i="4" s="1"/>
  <c r="BM35" i="4" s="1"/>
  <c r="AK31" i="9"/>
  <c r="BT34" i="4" s="1"/>
  <c r="BM34" i="4" s="1"/>
  <c r="AK17" i="9"/>
  <c r="BT33" i="4" s="1"/>
  <c r="BM33" i="4" s="1"/>
  <c r="BR43" i="4" l="1"/>
  <c r="BK43" i="4" s="1"/>
  <c r="BM25" i="4"/>
  <c r="AK18" i="3"/>
  <c r="BI14" i="3"/>
  <c r="BT26" i="4"/>
  <c r="BM26" i="4" s="1"/>
  <c r="AK60" i="9"/>
  <c r="AK61" i="9" s="1"/>
  <c r="AK32" i="9"/>
  <c r="BT32" i="4" s="1"/>
  <c r="BM32" i="4" s="1"/>
  <c r="BV27" i="4"/>
  <c r="BV23" i="4"/>
  <c r="AL43" i="21"/>
  <c r="AL42" i="21"/>
  <c r="AL31" i="21"/>
  <c r="AL30" i="21"/>
  <c r="AL19" i="21"/>
  <c r="AL18" i="21"/>
  <c r="AL7" i="21"/>
  <c r="AL6" i="21"/>
  <c r="AL44" i="5"/>
  <c r="AL32" i="5"/>
  <c r="AL20" i="5"/>
  <c r="AL8" i="5"/>
  <c r="AL50" i="6"/>
  <c r="AK50" i="6" s="1"/>
  <c r="AL9" i="6"/>
  <c r="BK48" i="6"/>
  <c r="BK44" i="6"/>
  <c r="BK43" i="6"/>
  <c r="BK42" i="6"/>
  <c r="BK41" i="6"/>
  <c r="BK40" i="6"/>
  <c r="BK39" i="6"/>
  <c r="BK35" i="6"/>
  <c r="BK34" i="6"/>
  <c r="BK33" i="6"/>
  <c r="BK32" i="6"/>
  <c r="BK31" i="6"/>
  <c r="BK30" i="6"/>
  <c r="BK29" i="6"/>
  <c r="BK28" i="6"/>
  <c r="BK27" i="6"/>
  <c r="BK23" i="6"/>
  <c r="BK22" i="6"/>
  <c r="BK20" i="6"/>
  <c r="BK19" i="6"/>
  <c r="BK18" i="6"/>
  <c r="BK17" i="6"/>
  <c r="BK16" i="6"/>
  <c r="BK15" i="6"/>
  <c r="BK14" i="6"/>
  <c r="BK13" i="6"/>
  <c r="BK12" i="6"/>
  <c r="BK11" i="6"/>
  <c r="BK10" i="6"/>
  <c r="AL45" i="6"/>
  <c r="AL36" i="6"/>
  <c r="D38" i="7"/>
  <c r="G38" i="7"/>
  <c r="BK32" i="3"/>
  <c r="BK31" i="3"/>
  <c r="BK30" i="3"/>
  <c r="BK29" i="3"/>
  <c r="BK27" i="3"/>
  <c r="BK26" i="3"/>
  <c r="BK20" i="3"/>
  <c r="BK19" i="3"/>
  <c r="BK17" i="3"/>
  <c r="BK16" i="3"/>
  <c r="BK15" i="3"/>
  <c r="BK13" i="3"/>
  <c r="BK12" i="3"/>
  <c r="BK10" i="3"/>
  <c r="BK9" i="3"/>
  <c r="BK7" i="3"/>
  <c r="BK6" i="3"/>
  <c r="AL33" i="3"/>
  <c r="AL8" i="3"/>
  <c r="AL11" i="3" s="1"/>
  <c r="AL14" i="3" s="1"/>
  <c r="AL18" i="3" s="1"/>
  <c r="AL21" i="3" s="1"/>
  <c r="AL7" i="6" l="1"/>
  <c r="BV24" i="4"/>
  <c r="BV29" i="4"/>
  <c r="BR44" i="4"/>
  <c r="BK44" i="4" s="1"/>
  <c r="BT28" i="4"/>
  <c r="BT45" i="4"/>
  <c r="BM45" i="4" s="1"/>
  <c r="BO27" i="4"/>
  <c r="BV25" i="4"/>
  <c r="BV30" i="4"/>
  <c r="BT41" i="4"/>
  <c r="BM41" i="4" s="1"/>
  <c r="BO23" i="4"/>
  <c r="BV26" i="4"/>
  <c r="BV28" i="4" s="1"/>
  <c r="BO28" i="4" s="1"/>
  <c r="AK21" i="3"/>
  <c r="BI18" i="3"/>
  <c r="BT29" i="4"/>
  <c r="AK7" i="6"/>
  <c r="AL8" i="21"/>
  <c r="AL20" i="21"/>
  <c r="BK9" i="6"/>
  <c r="BJ9" i="6"/>
  <c r="BJ8" i="6" s="1"/>
  <c r="AL32" i="21"/>
  <c r="AL44" i="21"/>
  <c r="AL8" i="6"/>
  <c r="AL48" i="5"/>
  <c r="AL36" i="5"/>
  <c r="AL24" i="5"/>
  <c r="AL12" i="5"/>
  <c r="H38" i="7"/>
  <c r="AL34" i="3"/>
  <c r="AL22" i="3"/>
  <c r="AL24" i="6" l="1"/>
  <c r="AL47" i="6" s="1"/>
  <c r="AL49" i="6" s="1"/>
  <c r="AL51" i="6" s="1"/>
  <c r="BR47" i="4"/>
  <c r="BK47" i="4" s="1"/>
  <c r="BM29" i="4"/>
  <c r="BR46" i="4"/>
  <c r="BK46" i="4" s="1"/>
  <c r="BM28" i="4"/>
  <c r="BI21" i="3"/>
  <c r="BT30" i="4"/>
  <c r="AK23" i="3"/>
  <c r="AK34" i="3"/>
  <c r="BI7" i="6"/>
  <c r="AK24" i="6"/>
  <c r="BT44" i="4"/>
  <c r="BO26" i="4"/>
  <c r="BT47" i="4"/>
  <c r="BM47" i="4" s="1"/>
  <c r="BO29" i="4"/>
  <c r="BO30" i="4"/>
  <c r="BT42" i="4"/>
  <c r="BM42" i="4" s="1"/>
  <c r="BO24" i="4"/>
  <c r="BK22" i="3"/>
  <c r="BJ22" i="3"/>
  <c r="BT43" i="4"/>
  <c r="BM43" i="4" s="1"/>
  <c r="BO25" i="4"/>
  <c r="BJ7" i="6"/>
  <c r="BJ24" i="6" s="1"/>
  <c r="BJ47" i="6" s="1"/>
  <c r="BJ49" i="6" s="1"/>
  <c r="AL24" i="21"/>
  <c r="AL12" i="21"/>
  <c r="AL36" i="21"/>
  <c r="AL48" i="21"/>
  <c r="AL35" i="3"/>
  <c r="BT46" i="4" l="1"/>
  <c r="BM46" i="4" s="1"/>
  <c r="BM44" i="4"/>
  <c r="BR48" i="4"/>
  <c r="BK48" i="4" s="1"/>
  <c r="BM30" i="4"/>
  <c r="BT48" i="4"/>
  <c r="BM48" i="4" s="1"/>
  <c r="BI23" i="3"/>
  <c r="BJ23" i="3"/>
  <c r="BI24" i="6"/>
  <c r="AK47" i="6"/>
  <c r="AK36" i="3"/>
  <c r="BI34" i="3"/>
  <c r="BK35" i="3"/>
  <c r="BJ35" i="3"/>
  <c r="AL59" i="9"/>
  <c r="BV37" i="4" s="1"/>
  <c r="BO37" i="4" s="1"/>
  <c r="AL49" i="9"/>
  <c r="BV36" i="4" s="1"/>
  <c r="BO36" i="4" s="1"/>
  <c r="AL39" i="9"/>
  <c r="AL41" i="9" s="1"/>
  <c r="BV35" i="4" s="1"/>
  <c r="BO35" i="4" s="1"/>
  <c r="AL31" i="9"/>
  <c r="BV34" i="4" s="1"/>
  <c r="BO34" i="4" s="1"/>
  <c r="AL17" i="9"/>
  <c r="BV33" i="4" s="1"/>
  <c r="BO33" i="4" s="1"/>
  <c r="AK49" i="6" l="1"/>
  <c r="BI49" i="6" s="1"/>
  <c r="BI47" i="6"/>
  <c r="BJ36" i="3"/>
  <c r="BI36" i="3"/>
  <c r="AL60" i="9"/>
  <c r="AL61" i="9" s="1"/>
  <c r="AL32" i="9"/>
  <c r="BV32" i="4" s="1"/>
  <c r="BO32" i="4" s="1"/>
  <c r="BX27" i="4"/>
  <c r="BQ27" i="4" s="1"/>
  <c r="BX23" i="4"/>
  <c r="BQ23" i="4" s="1"/>
  <c r="BY23" i="4" l="1"/>
  <c r="BV41" i="4"/>
  <c r="BO41" i="4" s="1"/>
  <c r="BX45" i="4"/>
  <c r="BV45" i="4"/>
  <c r="BO45" i="4" s="1"/>
  <c r="BY27" i="4"/>
  <c r="BX41" i="4"/>
  <c r="BY41" i="4" l="1"/>
  <c r="BQ41" i="4"/>
  <c r="BY45" i="4"/>
  <c r="BQ45" i="4"/>
  <c r="T10" i="4"/>
  <c r="U19" i="4"/>
  <c r="U18" i="4"/>
  <c r="U17" i="4"/>
  <c r="U16" i="4"/>
  <c r="U15" i="4"/>
  <c r="U14" i="4"/>
  <c r="U12" i="4"/>
  <c r="U11" i="4"/>
  <c r="U9" i="4"/>
  <c r="U8" i="4"/>
  <c r="U7" i="4"/>
  <c r="U6" i="4"/>
  <c r="U5" i="4"/>
  <c r="AM43" i="21"/>
  <c r="AM42" i="21"/>
  <c r="AM31" i="21"/>
  <c r="AM30" i="21"/>
  <c r="AM19" i="21"/>
  <c r="AM18" i="21"/>
  <c r="AM7" i="21"/>
  <c r="AM6" i="21"/>
  <c r="AM44" i="5"/>
  <c r="AM32" i="5"/>
  <c r="AM20" i="5"/>
  <c r="AM8" i="5"/>
  <c r="G37" i="7"/>
  <c r="D37" i="7"/>
  <c r="BL45" i="6"/>
  <c r="BL36" i="6"/>
  <c r="BL8" i="6"/>
  <c r="AM45" i="6"/>
  <c r="BK45" i="6" s="1"/>
  <c r="AM36" i="6"/>
  <c r="BK36" i="6" s="1"/>
  <c r="AM8" i="6"/>
  <c r="BK8" i="6" s="1"/>
  <c r="BL33" i="3"/>
  <c r="BL8" i="3"/>
  <c r="BL11" i="3" s="1"/>
  <c r="BL14" i="3" s="1"/>
  <c r="BL18" i="3" s="1"/>
  <c r="BL21" i="3" s="1"/>
  <c r="BL7" i="6" l="1"/>
  <c r="BL24" i="6" s="1"/>
  <c r="BL47" i="6" s="1"/>
  <c r="BL49" i="6" s="1"/>
  <c r="BL51" i="6" s="1"/>
  <c r="BK50" i="6" s="1"/>
  <c r="U10" i="4"/>
  <c r="S10" i="4"/>
  <c r="AM44" i="21"/>
  <c r="AM32" i="21"/>
  <c r="AM20" i="21"/>
  <c r="AM8" i="21"/>
  <c r="AM48" i="5"/>
  <c r="AM36" i="5"/>
  <c r="AM24" i="5"/>
  <c r="AM12" i="5"/>
  <c r="H37" i="7"/>
  <c r="BL34" i="3"/>
  <c r="BL36" i="3" s="1"/>
  <c r="BL23" i="3"/>
  <c r="AM36" i="21" l="1"/>
  <c r="AM12" i="21"/>
  <c r="AM48" i="21"/>
  <c r="AM24" i="21"/>
  <c r="AM33" i="3"/>
  <c r="BK33" i="3" s="1"/>
  <c r="AM8" i="3"/>
  <c r="AM11" i="3" l="1"/>
  <c r="BK8" i="3"/>
  <c r="BX24" i="4"/>
  <c r="AM59" i="9"/>
  <c r="BX37" i="4" s="1"/>
  <c r="AM49" i="9"/>
  <c r="BX36" i="4" s="1"/>
  <c r="AM39" i="9"/>
  <c r="AM41" i="9" s="1"/>
  <c r="BX35" i="4" s="1"/>
  <c r="AM31" i="9"/>
  <c r="BX34" i="4" s="1"/>
  <c r="AM17" i="9"/>
  <c r="BX33" i="4" s="1"/>
  <c r="BY33" i="4" l="1"/>
  <c r="BQ33" i="4"/>
  <c r="BQ37" i="4"/>
  <c r="BY37" i="4"/>
  <c r="BQ24" i="4"/>
  <c r="BY24" i="4"/>
  <c r="BX42" i="4"/>
  <c r="BV42" i="4"/>
  <c r="BO42" i="4" s="1"/>
  <c r="BY36" i="4"/>
  <c r="BQ36" i="4"/>
  <c r="BQ35" i="4"/>
  <c r="BY35" i="4"/>
  <c r="AM14" i="3"/>
  <c r="BK11" i="3"/>
  <c r="BX25" i="4"/>
  <c r="BY34" i="4"/>
  <c r="BQ34" i="4"/>
  <c r="AM60" i="9"/>
  <c r="AM61" i="9" s="1"/>
  <c r="AM32" i="9"/>
  <c r="BX32" i="4" s="1"/>
  <c r="BZ27" i="4"/>
  <c r="BZ23" i="4"/>
  <c r="AN43" i="21"/>
  <c r="AN42" i="21"/>
  <c r="AN31" i="21"/>
  <c r="AN30" i="21"/>
  <c r="AN19" i="21"/>
  <c r="AN18" i="21"/>
  <c r="AN7" i="21"/>
  <c r="AN6" i="21"/>
  <c r="AN44" i="5"/>
  <c r="AN32" i="5"/>
  <c r="AN20" i="5"/>
  <c r="AN8" i="5"/>
  <c r="BM48" i="6"/>
  <c r="BM44" i="6"/>
  <c r="BM43" i="6"/>
  <c r="BM42" i="6"/>
  <c r="BM41" i="6"/>
  <c r="BM40" i="6"/>
  <c r="BM39" i="6"/>
  <c r="BM35" i="6"/>
  <c r="BM34" i="6"/>
  <c r="BM33" i="6"/>
  <c r="BM32" i="6"/>
  <c r="BM31" i="6"/>
  <c r="BM30" i="6"/>
  <c r="BM29" i="6"/>
  <c r="BM28" i="6"/>
  <c r="BM27" i="6"/>
  <c r="BM23" i="6"/>
  <c r="BM22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AN50" i="6"/>
  <c r="AN45" i="6"/>
  <c r="AN36" i="6"/>
  <c r="AN8" i="6"/>
  <c r="BM36" i="3"/>
  <c r="BM35" i="3"/>
  <c r="BM32" i="3"/>
  <c r="BM30" i="3"/>
  <c r="BM29" i="3"/>
  <c r="BM23" i="3"/>
  <c r="BM22" i="3"/>
  <c r="BM20" i="3"/>
  <c r="BM19" i="3"/>
  <c r="BM17" i="3"/>
  <c r="BM16" i="3"/>
  <c r="BM15" i="3"/>
  <c r="BM13" i="3"/>
  <c r="BM12" i="3"/>
  <c r="BM10" i="3"/>
  <c r="BM9" i="3"/>
  <c r="BM7" i="3"/>
  <c r="BM6" i="3"/>
  <c r="BM8" i="6" l="1"/>
  <c r="BM45" i="6"/>
  <c r="BM36" i="6"/>
  <c r="BM8" i="3"/>
  <c r="BM11" i="3" s="1"/>
  <c r="BM14" i="3" s="1"/>
  <c r="BM18" i="3" s="1"/>
  <c r="BM21" i="3" s="1"/>
  <c r="BQ25" i="4"/>
  <c r="BY25" i="4"/>
  <c r="BX43" i="4"/>
  <c r="BV43" i="4"/>
  <c r="BO43" i="4" s="1"/>
  <c r="BY42" i="4"/>
  <c r="BQ42" i="4"/>
  <c r="AM18" i="3"/>
  <c r="BK14" i="3"/>
  <c r="BX26" i="4"/>
  <c r="BY32" i="4"/>
  <c r="BQ32" i="4"/>
  <c r="BS23" i="4"/>
  <c r="BS27" i="4"/>
  <c r="AN12" i="5"/>
  <c r="AN48" i="5"/>
  <c r="AN44" i="21"/>
  <c r="AN32" i="21"/>
  <c r="AN20" i="21"/>
  <c r="AN8" i="21"/>
  <c r="AN36" i="5"/>
  <c r="AN24" i="5"/>
  <c r="AN12" i="21" l="1"/>
  <c r="AN36" i="21"/>
  <c r="BQ26" i="4"/>
  <c r="BX44" i="4"/>
  <c r="BX28" i="4"/>
  <c r="BV44" i="4"/>
  <c r="BO44" i="4" s="1"/>
  <c r="BY26" i="4"/>
  <c r="AM21" i="3"/>
  <c r="BK18" i="3"/>
  <c r="BX29" i="4"/>
  <c r="AM7" i="6"/>
  <c r="BQ43" i="4"/>
  <c r="BY43" i="4"/>
  <c r="AN24" i="21"/>
  <c r="AN48" i="21"/>
  <c r="AN33" i="3"/>
  <c r="AN8" i="3"/>
  <c r="BZ24" i="4" s="1"/>
  <c r="AN11" i="3" l="1"/>
  <c r="BV46" i="4"/>
  <c r="BO46" i="4" s="1"/>
  <c r="BQ28" i="4"/>
  <c r="BQ29" i="4"/>
  <c r="BY29" i="4"/>
  <c r="BV47" i="4"/>
  <c r="BO47" i="4" s="1"/>
  <c r="BX47" i="4"/>
  <c r="AM23" i="3"/>
  <c r="BK23" i="3" s="1"/>
  <c r="BK21" i="3"/>
  <c r="BX30" i="4"/>
  <c r="AM34" i="3"/>
  <c r="BQ44" i="4"/>
  <c r="BY44" i="4"/>
  <c r="BX46" i="4"/>
  <c r="BQ46" i="4" s="1"/>
  <c r="BS24" i="4"/>
  <c r="BK7" i="6"/>
  <c r="AM24" i="6"/>
  <c r="AN59" i="9"/>
  <c r="BZ37" i="4" s="1"/>
  <c r="AN49" i="9"/>
  <c r="BZ36" i="4" s="1"/>
  <c r="AN39" i="9"/>
  <c r="AN41" i="9" s="1"/>
  <c r="BZ35" i="4" s="1"/>
  <c r="AN31" i="9"/>
  <c r="BZ34" i="4" s="1"/>
  <c r="AN17" i="9"/>
  <c r="BZ33" i="4" s="1"/>
  <c r="BS36" i="4" l="1"/>
  <c r="BS33" i="4"/>
  <c r="BS37" i="4"/>
  <c r="BK34" i="3"/>
  <c r="AM36" i="3"/>
  <c r="BK36" i="3" s="1"/>
  <c r="BY47" i="4"/>
  <c r="BQ47" i="4"/>
  <c r="BK24" i="6"/>
  <c r="AM47" i="6"/>
  <c r="BQ30" i="4"/>
  <c r="BY30" i="4"/>
  <c r="BV48" i="4"/>
  <c r="BO48" i="4" s="1"/>
  <c r="BX48" i="4"/>
  <c r="BS34" i="4"/>
  <c r="BS35" i="4"/>
  <c r="BZ25" i="4"/>
  <c r="AN14" i="3"/>
  <c r="AN60" i="9"/>
  <c r="AN61" i="9" s="1"/>
  <c r="AN32" i="9"/>
  <c r="BZ32" i="4" s="1"/>
  <c r="AO43" i="21"/>
  <c r="AO42" i="21"/>
  <c r="BK47" i="6" l="1"/>
  <c r="AM49" i="6"/>
  <c r="BY48" i="4"/>
  <c r="BQ48" i="4"/>
  <c r="BZ26" i="4"/>
  <c r="AN18" i="3"/>
  <c r="BS32" i="4"/>
  <c r="BS25" i="4"/>
  <c r="AO44" i="21"/>
  <c r="BZ29" i="4" l="1"/>
  <c r="AN7" i="6"/>
  <c r="AN21" i="3"/>
  <c r="AM51" i="6"/>
  <c r="BK49" i="6"/>
  <c r="BK51" i="6" s="1"/>
  <c r="BJ50" i="6" s="1"/>
  <c r="BJ51" i="6" s="1"/>
  <c r="BI50" i="6" s="1"/>
  <c r="BI51" i="6" s="1"/>
  <c r="BH50" i="6" s="1"/>
  <c r="BH51" i="6" s="1"/>
  <c r="BG50" i="6" s="1"/>
  <c r="BG51" i="6" s="1"/>
  <c r="BF50" i="6" s="1"/>
  <c r="BF51" i="6" s="1"/>
  <c r="BE50" i="6" s="1"/>
  <c r="BE51" i="6" s="1"/>
  <c r="BD50" i="6" s="1"/>
  <c r="BD51" i="6" s="1"/>
  <c r="BS26" i="4"/>
  <c r="BZ28" i="4"/>
  <c r="BS28" i="4" s="1"/>
  <c r="AO48" i="21"/>
  <c r="AO31" i="21"/>
  <c r="AO30" i="21"/>
  <c r="AO19" i="21"/>
  <c r="AO18" i="21"/>
  <c r="AO7" i="21"/>
  <c r="AO6" i="21"/>
  <c r="AO44" i="5"/>
  <c r="AO32" i="5"/>
  <c r="AO20" i="5"/>
  <c r="AO8" i="5"/>
  <c r="AO12" i="5" l="1"/>
  <c r="BZ30" i="4"/>
  <c r="AN34" i="3"/>
  <c r="BM7" i="6"/>
  <c r="BM24" i="6" s="1"/>
  <c r="BM47" i="6" s="1"/>
  <c r="BM49" i="6" s="1"/>
  <c r="AN24" i="6"/>
  <c r="AN47" i="6" s="1"/>
  <c r="AN49" i="6" s="1"/>
  <c r="AN51" i="6" s="1"/>
  <c r="AK51" i="6" s="1"/>
  <c r="BS29" i="4"/>
  <c r="AO20" i="21"/>
  <c r="AO32" i="21"/>
  <c r="AO8" i="21"/>
  <c r="AO48" i="5"/>
  <c r="AO36" i="5"/>
  <c r="AO24" i="5"/>
  <c r="H36" i="7" l="1"/>
  <c r="BS30" i="4"/>
  <c r="AO36" i="21"/>
  <c r="AO24" i="21"/>
  <c r="AO12" i="21"/>
  <c r="CA27" i="4"/>
  <c r="BU27" i="4" s="1"/>
  <c r="CA23" i="4"/>
  <c r="BZ41" i="4" l="1"/>
  <c r="BU23" i="4"/>
  <c r="BZ45" i="4"/>
  <c r="BN48" i="6"/>
  <c r="BN44" i="6"/>
  <c r="BN43" i="6"/>
  <c r="BN42" i="6"/>
  <c r="BN41" i="6"/>
  <c r="BN40" i="6"/>
  <c r="BN39" i="6"/>
  <c r="BN35" i="6"/>
  <c r="BN34" i="6"/>
  <c r="BN33" i="6"/>
  <c r="BN32" i="6"/>
  <c r="BN31" i="6"/>
  <c r="BN30" i="6"/>
  <c r="BN29" i="6"/>
  <c r="BN28" i="6"/>
  <c r="BN27" i="6"/>
  <c r="BN10" i="6"/>
  <c r="BN11" i="6"/>
  <c r="BN12" i="6"/>
  <c r="BN13" i="6"/>
  <c r="BN14" i="6"/>
  <c r="BN15" i="6"/>
  <c r="BN16" i="6"/>
  <c r="BN17" i="6"/>
  <c r="BN18" i="6"/>
  <c r="BN19" i="6"/>
  <c r="BN20" i="6"/>
  <c r="BN22" i="6"/>
  <c r="BN23" i="6"/>
  <c r="BN9" i="6"/>
  <c r="BN7" i="6"/>
  <c r="AO50" i="6"/>
  <c r="AO45" i="6"/>
  <c r="AO36" i="6"/>
  <c r="BN45" i="6" l="1"/>
  <c r="BN8" i="6"/>
  <c r="BN24" i="6" s="1"/>
  <c r="BN36" i="6"/>
  <c r="BS45" i="4"/>
  <c r="BS41" i="4"/>
  <c r="AO8" i="6"/>
  <c r="AO24" i="6" s="1"/>
  <c r="AO47" i="6" s="1"/>
  <c r="AO49" i="6" s="1"/>
  <c r="AO51" i="6" s="1"/>
  <c r="BN36" i="3"/>
  <c r="BN32" i="3"/>
  <c r="BN29" i="3"/>
  <c r="BN47" i="6" l="1"/>
  <c r="BN49" i="6" s="1"/>
  <c r="BN20" i="3"/>
  <c r="BN19" i="3"/>
  <c r="BN23" i="3"/>
  <c r="BN17" i="3"/>
  <c r="BN16" i="3"/>
  <c r="BN15" i="3"/>
  <c r="BN13" i="3"/>
  <c r="BN12" i="3"/>
  <c r="BN10" i="3"/>
  <c r="BN9" i="3"/>
  <c r="BN7" i="3"/>
  <c r="BN6" i="3"/>
  <c r="AO31" i="3"/>
  <c r="AO8" i="3"/>
  <c r="BN8" i="3" l="1"/>
  <c r="BN11" i="3" s="1"/>
  <c r="BN14" i="3" s="1"/>
  <c r="BN18" i="3" s="1"/>
  <c r="BN21" i="3" s="1"/>
  <c r="BN31" i="3"/>
  <c r="BN33" i="3" s="1"/>
  <c r="BM31" i="3"/>
  <c r="BM33" i="3" s="1"/>
  <c r="BM34" i="3" s="1"/>
  <c r="AO33" i="3"/>
  <c r="AO11" i="3"/>
  <c r="CA24" i="4"/>
  <c r="AO59" i="9"/>
  <c r="CA37" i="4" s="1"/>
  <c r="AO49" i="9"/>
  <c r="CA36" i="4" s="1"/>
  <c r="AO39" i="9"/>
  <c r="AO41" i="9" s="1"/>
  <c r="CA35" i="4" s="1"/>
  <c r="AO31" i="9"/>
  <c r="CA34" i="4" s="1"/>
  <c r="AO17" i="9"/>
  <c r="CA33" i="4" s="1"/>
  <c r="BN34" i="3" l="1"/>
  <c r="BU37" i="4"/>
  <c r="BZ42" i="4"/>
  <c r="BU24" i="4"/>
  <c r="BU33" i="4"/>
  <c r="BU34" i="4"/>
  <c r="BU35" i="4"/>
  <c r="BU36" i="4"/>
  <c r="AO14" i="3"/>
  <c r="CA25" i="4"/>
  <c r="AO60" i="9"/>
  <c r="AO61" i="9" s="1"/>
  <c r="AO32" i="9"/>
  <c r="CA32" i="4" s="1"/>
  <c r="CB37" i="4"/>
  <c r="CB36" i="4"/>
  <c r="CB35" i="4"/>
  <c r="CB34" i="4"/>
  <c r="CB33" i="4"/>
  <c r="CB32" i="4"/>
  <c r="CB27" i="4"/>
  <c r="BW27" i="4" s="1"/>
  <c r="CB23" i="4"/>
  <c r="BW23" i="4" s="1"/>
  <c r="AP43" i="21"/>
  <c r="AP42" i="21"/>
  <c r="AP31" i="21"/>
  <c r="AP30" i="21"/>
  <c r="AP19" i="21"/>
  <c r="AP18" i="21"/>
  <c r="AP7" i="21"/>
  <c r="AP6" i="21"/>
  <c r="AP44" i="5"/>
  <c r="AP32" i="5"/>
  <c r="AP20" i="5"/>
  <c r="AP8" i="5"/>
  <c r="BS42" i="4" l="1"/>
  <c r="BZ43" i="4"/>
  <c r="BU25" i="4"/>
  <c r="BU32" i="4"/>
  <c r="BW32" i="4"/>
  <c r="BW36" i="4"/>
  <c r="BW35" i="4"/>
  <c r="BW33" i="4"/>
  <c r="BW37" i="4"/>
  <c r="BW34" i="4"/>
  <c r="CB41" i="4"/>
  <c r="CA41" i="4"/>
  <c r="AO18" i="3"/>
  <c r="CA26" i="4"/>
  <c r="CA45" i="4"/>
  <c r="CB45" i="4"/>
  <c r="AP44" i="21"/>
  <c r="AP32" i="21"/>
  <c r="AP20" i="21"/>
  <c r="AP8" i="21"/>
  <c r="AP48" i="5"/>
  <c r="AP36" i="5"/>
  <c r="AP24" i="5"/>
  <c r="AP12" i="5"/>
  <c r="G34" i="7"/>
  <c r="D34" i="7"/>
  <c r="BO50" i="6"/>
  <c r="AP45" i="6"/>
  <c r="BO45" i="6" s="1"/>
  <c r="AP36" i="6"/>
  <c r="BO36" i="6" s="1"/>
  <c r="AP8" i="6"/>
  <c r="BO8" i="6" s="1"/>
  <c r="BO48" i="6"/>
  <c r="BO44" i="6"/>
  <c r="BO43" i="6"/>
  <c r="BO42" i="6"/>
  <c r="BO41" i="6"/>
  <c r="BO40" i="6"/>
  <c r="BO39" i="6"/>
  <c r="BO35" i="6"/>
  <c r="BO34" i="6"/>
  <c r="BO33" i="6"/>
  <c r="BO32" i="6"/>
  <c r="BO31" i="6"/>
  <c r="BO30" i="6"/>
  <c r="BO29" i="6"/>
  <c r="BO28" i="6"/>
  <c r="BO27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2" i="6"/>
  <c r="BO23" i="6"/>
  <c r="BO7" i="6"/>
  <c r="H34" i="7" l="1"/>
  <c r="AP48" i="21"/>
  <c r="AP24" i="21"/>
  <c r="BS43" i="4"/>
  <c r="BU41" i="4"/>
  <c r="BU45" i="4"/>
  <c r="BZ44" i="4"/>
  <c r="BU26" i="4"/>
  <c r="AP36" i="21"/>
  <c r="BW41" i="4"/>
  <c r="BW45" i="4"/>
  <c r="AO21" i="3"/>
  <c r="CA29" i="4"/>
  <c r="CA28" i="4"/>
  <c r="AP12" i="21"/>
  <c r="AP24" i="6"/>
  <c r="BO24" i="6" s="1"/>
  <c r="BS44" i="4" l="1"/>
  <c r="BZ46" i="4"/>
  <c r="BS46" i="4" s="1"/>
  <c r="BU28" i="4"/>
  <c r="BZ47" i="4"/>
  <c r="BU29" i="4"/>
  <c r="AO34" i="3"/>
  <c r="CA30" i="4"/>
  <c r="AP47" i="6"/>
  <c r="BO47" i="6" s="1"/>
  <c r="BS47" i="4" l="1"/>
  <c r="BZ48" i="4"/>
  <c r="BU30" i="4"/>
  <c r="H35" i="7"/>
  <c r="AP49" i="6"/>
  <c r="AP33" i="3"/>
  <c r="BO33" i="3" s="1"/>
  <c r="AP8" i="3"/>
  <c r="AP11" i="3" s="1"/>
  <c r="BO36" i="3"/>
  <c r="BO32" i="3"/>
  <c r="BO31" i="3"/>
  <c r="BO30" i="3"/>
  <c r="BO29" i="3"/>
  <c r="BO27" i="3"/>
  <c r="BO26" i="3"/>
  <c r="BO7" i="3"/>
  <c r="BO9" i="3"/>
  <c r="BO10" i="3"/>
  <c r="BO12" i="3"/>
  <c r="BO13" i="3"/>
  <c r="BO15" i="3"/>
  <c r="BO16" i="3"/>
  <c r="BO17" i="3"/>
  <c r="BO19" i="3"/>
  <c r="BO20" i="3"/>
  <c r="BO23" i="3"/>
  <c r="BO6" i="3"/>
  <c r="BS48" i="4" l="1"/>
  <c r="BO11" i="3"/>
  <c r="CB25" i="4"/>
  <c r="AP14" i="3"/>
  <c r="BO8" i="3"/>
  <c r="CB24" i="4"/>
  <c r="BO49" i="6"/>
  <c r="BO51" i="6" s="1"/>
  <c r="BN50" i="6" s="1"/>
  <c r="BN51" i="6" s="1"/>
  <c r="BM50" i="6" s="1"/>
  <c r="BM51" i="6" s="1"/>
  <c r="AP51" i="6"/>
  <c r="CA43" i="4" l="1"/>
  <c r="BW25" i="4"/>
  <c r="CA42" i="4"/>
  <c r="BW24" i="4"/>
  <c r="AP18" i="3"/>
  <c r="CB26" i="4"/>
  <c r="BO14" i="3"/>
  <c r="CB43" i="4"/>
  <c r="CB42" i="4"/>
  <c r="BU43" i="4" l="1"/>
  <c r="BU42" i="4"/>
  <c r="BW43" i="4"/>
  <c r="CA44" i="4"/>
  <c r="BW26" i="4"/>
  <c r="BW42" i="4"/>
  <c r="CB44" i="4"/>
  <c r="CB28" i="4"/>
  <c r="BW28" i="4" s="1"/>
  <c r="BO18" i="3"/>
  <c r="CB29" i="4"/>
  <c r="AP21" i="3"/>
  <c r="CA46" i="4" l="1"/>
  <c r="BU46" i="4" s="1"/>
  <c r="BU44" i="4"/>
  <c r="CA47" i="4"/>
  <c r="BW29" i="4"/>
  <c r="BW44" i="4"/>
  <c r="CB30" i="4"/>
  <c r="AP34" i="3"/>
  <c r="AP22" i="3"/>
  <c r="BO21" i="3"/>
  <c r="CB47" i="4"/>
  <c r="Y6" i="4"/>
  <c r="Y7" i="4"/>
  <c r="Y8" i="4"/>
  <c r="Y9" i="4"/>
  <c r="Y10" i="4"/>
  <c r="Y11" i="4"/>
  <c r="Y12" i="4"/>
  <c r="Y14" i="4"/>
  <c r="Y15" i="4"/>
  <c r="Y16" i="4"/>
  <c r="Y17" i="4"/>
  <c r="Y18" i="4"/>
  <c r="Y19" i="4"/>
  <c r="W6" i="4"/>
  <c r="W7" i="4"/>
  <c r="W8" i="4"/>
  <c r="W9" i="4"/>
  <c r="W10" i="4"/>
  <c r="W11" i="4"/>
  <c r="W12" i="4"/>
  <c r="W14" i="4"/>
  <c r="W15" i="4"/>
  <c r="W16" i="4"/>
  <c r="W17" i="4"/>
  <c r="W18" i="4"/>
  <c r="W19" i="4"/>
  <c r="Y5" i="4"/>
  <c r="W5" i="4"/>
  <c r="CO46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O28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BU47" i="4" l="1"/>
  <c r="BW47" i="4"/>
  <c r="CA48" i="4"/>
  <c r="BW30" i="4"/>
  <c r="BY46" i="4"/>
  <c r="BY28" i="4"/>
  <c r="BO22" i="3"/>
  <c r="BN22" i="3"/>
  <c r="CB46" i="4"/>
  <c r="BO34" i="3"/>
  <c r="AP35" i="3"/>
  <c r="CB48" i="4"/>
  <c r="AS6" i="21"/>
  <c r="AT6" i="21"/>
  <c r="AS7" i="21"/>
  <c r="AT7" i="21"/>
  <c r="AS8" i="21"/>
  <c r="AT8" i="21"/>
  <c r="AS12" i="21"/>
  <c r="AT12" i="21"/>
  <c r="AR7" i="21"/>
  <c r="AR8" i="21"/>
  <c r="AR12" i="21"/>
  <c r="AR6" i="21"/>
  <c r="AW6" i="21"/>
  <c r="AX6" i="21"/>
  <c r="AW7" i="21"/>
  <c r="AX7" i="21"/>
  <c r="AW8" i="21"/>
  <c r="AX8" i="21"/>
  <c r="AW12" i="21"/>
  <c r="AX12" i="21"/>
  <c r="AV7" i="21"/>
  <c r="AV8" i="21"/>
  <c r="AV12" i="21"/>
  <c r="AV6" i="21"/>
  <c r="BA6" i="21"/>
  <c r="BB6" i="21"/>
  <c r="BA7" i="21"/>
  <c r="BB7" i="21"/>
  <c r="BA8" i="21"/>
  <c r="BB8" i="21"/>
  <c r="BA12" i="21"/>
  <c r="BB12" i="21"/>
  <c r="AZ7" i="21"/>
  <c r="AZ8" i="21"/>
  <c r="AZ12" i="21"/>
  <c r="AZ6" i="21"/>
  <c r="AS18" i="21"/>
  <c r="AT18" i="21"/>
  <c r="AS19" i="21"/>
  <c r="AT19" i="21"/>
  <c r="AS20" i="21"/>
  <c r="AT20" i="21"/>
  <c r="AS24" i="21"/>
  <c r="AT24" i="21"/>
  <c r="AR19" i="21"/>
  <c r="AR20" i="21"/>
  <c r="AR24" i="21"/>
  <c r="AR18" i="21"/>
  <c r="AW18" i="21"/>
  <c r="AX18" i="21"/>
  <c r="AW19" i="21"/>
  <c r="AX19" i="21"/>
  <c r="AW20" i="21"/>
  <c r="AX20" i="21"/>
  <c r="AW24" i="21"/>
  <c r="AX24" i="21"/>
  <c r="AV19" i="21"/>
  <c r="AV20" i="21"/>
  <c r="AV24" i="21"/>
  <c r="AV18" i="21"/>
  <c r="BA18" i="21"/>
  <c r="BB18" i="21"/>
  <c r="BA19" i="21"/>
  <c r="BB19" i="21"/>
  <c r="BA20" i="21"/>
  <c r="BB20" i="21"/>
  <c r="BA24" i="21"/>
  <c r="BB24" i="21"/>
  <c r="AZ19" i="21"/>
  <c r="AZ20" i="21"/>
  <c r="AZ24" i="21"/>
  <c r="AZ18" i="21"/>
  <c r="BA30" i="21"/>
  <c r="BB30" i="21"/>
  <c r="BA31" i="21"/>
  <c r="BB31" i="21"/>
  <c r="BA32" i="21"/>
  <c r="BB32" i="21"/>
  <c r="BA36" i="21"/>
  <c r="BB36" i="21"/>
  <c r="AZ31" i="21"/>
  <c r="AZ32" i="21"/>
  <c r="AZ36" i="21"/>
  <c r="AZ30" i="21"/>
  <c r="AW30" i="21"/>
  <c r="AX30" i="21"/>
  <c r="AW31" i="21"/>
  <c r="AX31" i="21"/>
  <c r="AW32" i="21"/>
  <c r="AX32" i="21"/>
  <c r="AW36" i="21"/>
  <c r="AX36" i="21"/>
  <c r="AV31" i="21"/>
  <c r="AV32" i="21"/>
  <c r="AV36" i="21"/>
  <c r="AV30" i="21"/>
  <c r="AS30" i="21"/>
  <c r="AT30" i="21"/>
  <c r="AS31" i="21"/>
  <c r="AT31" i="21"/>
  <c r="AS32" i="21"/>
  <c r="AT32" i="21"/>
  <c r="AS36" i="21"/>
  <c r="AT36" i="21"/>
  <c r="AR31" i="21"/>
  <c r="AR32" i="21"/>
  <c r="AR36" i="21"/>
  <c r="AR30" i="21"/>
  <c r="BA42" i="21"/>
  <c r="BB42" i="21"/>
  <c r="BA43" i="21"/>
  <c r="BB43" i="21"/>
  <c r="BA44" i="21"/>
  <c r="BB44" i="21"/>
  <c r="BA48" i="21"/>
  <c r="BB48" i="21"/>
  <c r="AZ43" i="21"/>
  <c r="AZ44" i="21"/>
  <c r="AZ48" i="21"/>
  <c r="AZ42" i="21"/>
  <c r="AW42" i="21"/>
  <c r="AX42" i="21"/>
  <c r="AW43" i="21"/>
  <c r="AX43" i="21"/>
  <c r="AW44" i="21"/>
  <c r="AX44" i="21"/>
  <c r="AW48" i="21"/>
  <c r="AX48" i="21"/>
  <c r="AV43" i="21"/>
  <c r="AV44" i="21"/>
  <c r="AV48" i="21"/>
  <c r="AV42" i="21"/>
  <c r="AS42" i="21"/>
  <c r="AT42" i="21"/>
  <c r="AS43" i="21"/>
  <c r="AT43" i="21"/>
  <c r="AS44" i="21"/>
  <c r="AT44" i="21"/>
  <c r="AS48" i="21"/>
  <c r="AT48" i="21"/>
  <c r="AR43" i="21"/>
  <c r="AR44" i="21"/>
  <c r="AR48" i="21"/>
  <c r="AR42" i="21"/>
  <c r="BU48" i="4" l="1"/>
  <c r="BW48" i="4"/>
  <c r="BW46" i="4"/>
  <c r="BO35" i="3"/>
  <c r="BN35" i="3"/>
</calcChain>
</file>

<file path=xl/sharedStrings.xml><?xml version="1.0" encoding="utf-8"?>
<sst xmlns="http://schemas.openxmlformats.org/spreadsheetml/2006/main" count="1399" uniqueCount="290">
  <si>
    <t>Przychody ze sprzedaży</t>
  </si>
  <si>
    <t>EBITDA</t>
  </si>
  <si>
    <t>Przychody netto ze sprzedaży</t>
  </si>
  <si>
    <t>Wynik brutto ze sprzedaży</t>
  </si>
  <si>
    <t>Wynik netto na sprzedaży</t>
  </si>
  <si>
    <t>Amortyzacja</t>
  </si>
  <si>
    <t>Wynik przed opadatkowaniem</t>
  </si>
  <si>
    <t>Wynik netto</t>
  </si>
  <si>
    <t>Aktywa ogółem</t>
  </si>
  <si>
    <t>Aktywa trwałe</t>
  </si>
  <si>
    <t>Aktywa obrotowe</t>
  </si>
  <si>
    <t>Kapitał własny</t>
  </si>
  <si>
    <t>Zobowiązania długoterminowe</t>
  </si>
  <si>
    <t>Zobowiązania krótkoterminowe</t>
  </si>
  <si>
    <t>I-IIIQ 14</t>
  </si>
  <si>
    <t>I-IIQ 14</t>
  </si>
  <si>
    <t>IQ 14</t>
  </si>
  <si>
    <t>I-IVQ 13</t>
  </si>
  <si>
    <t>I-IIIQ 13</t>
  </si>
  <si>
    <t>I-IIQ 13</t>
  </si>
  <si>
    <t>IQ 13</t>
  </si>
  <si>
    <t>I-IVQ 12</t>
  </si>
  <si>
    <t>I-IIIQ 12</t>
  </si>
  <si>
    <t>I-IIQ 12</t>
  </si>
  <si>
    <t>IQ 12</t>
  </si>
  <si>
    <t>IIIQ 14</t>
  </si>
  <si>
    <t>IIQ 14</t>
  </si>
  <si>
    <t>IVQ 13</t>
  </si>
  <si>
    <t>IIIQ 13</t>
  </si>
  <si>
    <t>IIQ 13</t>
  </si>
  <si>
    <t>IVQ 12</t>
  </si>
  <si>
    <t>IIIQ 12</t>
  </si>
  <si>
    <t>IIQ 12</t>
  </si>
  <si>
    <t>Rzeczowe aktywa trwałe</t>
  </si>
  <si>
    <t>Aktywa niematerialne</t>
  </si>
  <si>
    <t>Należności długoterminowe</t>
  </si>
  <si>
    <t>Akcje i udziały w jednostkach zależnych</t>
  </si>
  <si>
    <t>Inwestycje w jednostki stowarzyszone</t>
  </si>
  <si>
    <t>Razem Aktywa trwałe</t>
  </si>
  <si>
    <t>Zapasy</t>
  </si>
  <si>
    <t>Należności z tytułu dostaw i usług</t>
  </si>
  <si>
    <t>Należności z tytułu bieżącego podatku dochodowego</t>
  </si>
  <si>
    <t>Pozostałe należności</t>
  </si>
  <si>
    <t>Środki pieniężne i ich ekwiwalenty</t>
  </si>
  <si>
    <t>Razem Aktywa obrotowe</t>
  </si>
  <si>
    <t xml:space="preserve">RAZEM AKTYWA </t>
  </si>
  <si>
    <t>Kapitał akcyjny</t>
  </si>
  <si>
    <t>Inne skumulowane całkowite dochody</t>
  </si>
  <si>
    <t>Zyski zatrzymane</t>
  </si>
  <si>
    <t>Razem kapitał własny</t>
  </si>
  <si>
    <t>Zobowiązania</t>
  </si>
  <si>
    <t>Pozostałe zobowiązania</t>
  </si>
  <si>
    <t>Rezerwa z tytułu odroczonego podatku dochodowego</t>
  </si>
  <si>
    <t>Razem zobowiązania długoterminowe</t>
  </si>
  <si>
    <t>Zobowiązaia z tytułu dostaw i usług</t>
  </si>
  <si>
    <t>Zobowiązania z tytułu bieżącego podatku dochodowego</t>
  </si>
  <si>
    <t>Razem zobowiązania krótkoterminowe</t>
  </si>
  <si>
    <t>Razem zobowiązania</t>
  </si>
  <si>
    <t>RAZEM PASYWA</t>
  </si>
  <si>
    <t>AKTYWA</t>
  </si>
  <si>
    <t>PASYWA</t>
  </si>
  <si>
    <t>Nieruchomości inwestycyjne</t>
  </si>
  <si>
    <t>Koszt sprzedanych produktów, towarów i materiałów</t>
  </si>
  <si>
    <t>Koszty sprzedaży</t>
  </si>
  <si>
    <t>Koszty ogólnego zarządu</t>
  </si>
  <si>
    <t>Pozostałe przychody operacyjne</t>
  </si>
  <si>
    <t>Pozostałe koszty operacyjne</t>
  </si>
  <si>
    <t>Wynik z działalności operacyjnej</t>
  </si>
  <si>
    <t>Przychody finansowe</t>
  </si>
  <si>
    <t>Koszty finansowe</t>
  </si>
  <si>
    <t>Wynik przed opodatkowaniem</t>
  </si>
  <si>
    <t>Podatek dochodowy bieżący</t>
  </si>
  <si>
    <t>Podatek dochodowy odroczony</t>
  </si>
  <si>
    <t>Inne całkowite dochody z tytyłu:</t>
  </si>
  <si>
    <t>ŁĄCZNE CAŁKOWITE DOCHODY</t>
  </si>
  <si>
    <t>Wynik netto na jedną akcję zwykłą (zł/akcję)</t>
  </si>
  <si>
    <t>Rozwodniony wynik netto na jedną akcję zwykłą (zł/akcję)</t>
  </si>
  <si>
    <t>Liczba akcji na koniec okresu (tys. szt)</t>
  </si>
  <si>
    <t>Wartość księgowa na jedną akcję (zł)</t>
  </si>
  <si>
    <t>Cena/zysk (P/E)</t>
  </si>
  <si>
    <t>Płynność bieżąca</t>
  </si>
  <si>
    <t>Płynność szybka</t>
  </si>
  <si>
    <t>Przepływy pieniężne z działalności operacyjnej</t>
  </si>
  <si>
    <t>Wynik brutto</t>
  </si>
  <si>
    <t>Korekty zysku brutto</t>
  </si>
  <si>
    <t>Zysk/Strata z tytułu różnic kursowych</t>
  </si>
  <si>
    <t>Odsetki i udziały w zyskach (dywidendy)</t>
  </si>
  <si>
    <t>Wynik na sprzedaży aktywów finansowych</t>
  </si>
  <si>
    <t>Zmiana stanu rezerw</t>
  </si>
  <si>
    <t>Zmiana stanu zapasów</t>
  </si>
  <si>
    <t>Zmiana stanu należności</t>
  </si>
  <si>
    <t>Zmiana stanu zobowiązań krótkoterminowych, z wyjątkiem kredytów i pożyczek</t>
  </si>
  <si>
    <t>Inne korekty</t>
  </si>
  <si>
    <t>Przepływy pieniężne netto z działalności operacyjnej</t>
  </si>
  <si>
    <t>Przepływy pieniężne z działalności inwestycyjnej</t>
  </si>
  <si>
    <t>Wpływy ze zbycia aktywów niematerialnych oraz rzeczowych aktywów trwałych</t>
  </si>
  <si>
    <t>Wpływy ze sprzedaży aktywów finansowych</t>
  </si>
  <si>
    <t>Przepływy pieniężne netto z działalności inwestycyjnej</t>
  </si>
  <si>
    <t>Przepływy pieniężne z działalności finansowej</t>
  </si>
  <si>
    <t>Wpływy z otrzymanych kredytów i pożyczek</t>
  </si>
  <si>
    <t>Spłata kredytów i pożyczek</t>
  </si>
  <si>
    <t>Odsetki zapłacone</t>
  </si>
  <si>
    <t>Przepływy pieniężne netto z działalności finansowej</t>
  </si>
  <si>
    <t>Przepływy pieniężne netto razem</t>
  </si>
  <si>
    <t>Zyski/Straty z tytułu różniec kursowych z tytułu wyceny środków pieniężnych i ich ekwiwalentów</t>
  </si>
  <si>
    <t>Zmiana stanu środków pieniężnych i ich ekwiwalentów</t>
  </si>
  <si>
    <t>Stan środków pieniężnych i ich ekwiwalentów na początek okresu</t>
  </si>
  <si>
    <t>Stan środków pieniężnych i ich ekwiwalentów na koniec okresu</t>
  </si>
  <si>
    <t>Sprzedaż między segmentami</t>
  </si>
  <si>
    <t>Przychody segmentów ogółem</t>
  </si>
  <si>
    <t>Koszty segmentów ogółem</t>
  </si>
  <si>
    <t>Wynik segmentu</t>
  </si>
  <si>
    <t>Sprzedaż na zewnątrz</t>
  </si>
  <si>
    <t>rdr</t>
  </si>
  <si>
    <t>I-IVQ 14</t>
  </si>
  <si>
    <t>IVQ14</t>
  </si>
  <si>
    <t>IVQ 14</t>
  </si>
  <si>
    <t>Aktywa finansowe z tytułu zabezpieczeń przepływów pieniężnych</t>
  </si>
  <si>
    <t>Zobowiązania finansowe z tytułu zabezpieczeń przepływów pieniężnych</t>
  </si>
  <si>
    <t>Aktywa trwałe przeznaczone do sprzedaży</t>
  </si>
  <si>
    <t>Udział w zysku jednostek stowarzyszonych wycenianych metodą praw własności</t>
  </si>
  <si>
    <t>Podatek dochodowy pozycji niereklasyfikowanych</t>
  </si>
  <si>
    <t>Pozycje podlegające reklasyfikacji</t>
  </si>
  <si>
    <t>Zabezpieczenie przepływów pieniężnych</t>
  </si>
  <si>
    <t>Inwestycje w instrumenty kapitałowe</t>
  </si>
  <si>
    <t>Podatek dochodowy pozycji reklasyfikowanych</t>
  </si>
  <si>
    <t xml:space="preserve">Inne całkowite dochody </t>
  </si>
  <si>
    <t>Przepływy z tytułu podatku dochodowego</t>
  </si>
  <si>
    <t>Wycena nieruchomości inwestycyjnych</t>
  </si>
  <si>
    <t>Wydatki na nabycie aktywów finansowych</t>
  </si>
  <si>
    <t>Dywidendy otrzymane</t>
  </si>
  <si>
    <t>Inne wpływy inwestycyjne</t>
  </si>
  <si>
    <t>Inne wydatki inwestycyjne</t>
  </si>
  <si>
    <t>Inne wpływy finansowe</t>
  </si>
  <si>
    <t>Wydatki na nabycie aktywów niematerialnych oraz rzeczowych aktywów trwałych</t>
  </si>
  <si>
    <t>Wynik z działalności operacyjnej (EBIT)</t>
  </si>
  <si>
    <t>Wynik  z działalności operacyjnej (EBIT)</t>
  </si>
  <si>
    <t>DANE KWARTALNE NARASTAJĄCO [PLN]</t>
  </si>
  <si>
    <t>DANE ROCZNE [PLN]</t>
  </si>
  <si>
    <t>DANE KWARTALNE [PLN]</t>
  </si>
  <si>
    <t xml:space="preserve">GRUPA KAPITAŁOWA LUBAWA: BILANS </t>
  </si>
  <si>
    <t>GRUPA KAPITAŁOWA LUBAWA: RACHUNEK ZYSKÓW I STRAT</t>
  </si>
  <si>
    <t>GRUPA KAPITAŁOWA LUBAWA: PRZEPŁYWY PIENIĘŻNE</t>
  </si>
  <si>
    <t>DANE KWARTANE NARASTAJĄCO [PLN]</t>
  </si>
  <si>
    <t>GRUPA KAPITAŁOWA LUBAWA: ZESTAWIENIE ZMIAN W KAPITALE WŁASNYM</t>
  </si>
  <si>
    <t>GRUPA KAPITAŁOWA LUBAWA: WSKAŹNIKI FINANSOWE</t>
  </si>
  <si>
    <t xml:space="preserve">TKANINY </t>
  </si>
  <si>
    <t>POZOSTAŁE</t>
  </si>
  <si>
    <t>SPRZĘT SPECJALISTYCZNY</t>
  </si>
  <si>
    <t>MATERIAŁY REKLAMOWE</t>
  </si>
  <si>
    <t>TKANINY</t>
  </si>
  <si>
    <t>GRUPA KAPITAŁOWA LUBAWA: WYBRANE DANE FINANSOWE</t>
  </si>
  <si>
    <t>GRUPA KAPITAŁOWA LUBAWA: SEGMENTY BRANŻOWE</t>
  </si>
  <si>
    <t>Różnice kursowe z przeliczenia sprawozdań jednostek zagranicznych</t>
  </si>
  <si>
    <t>Udziały niedające kontroli</t>
  </si>
  <si>
    <t>IQ 15</t>
  </si>
  <si>
    <t>IQ15</t>
  </si>
  <si>
    <t>Udzielone pożyczki</t>
  </si>
  <si>
    <t>Aktywa z tytułu odroczonego podatku dochodowego</t>
  </si>
  <si>
    <t>Marża brutto ze sprzedaży (%)</t>
  </si>
  <si>
    <t>Stopa zwrotu z aktywów (ROA)</t>
  </si>
  <si>
    <t>Stopa zwrotu z kapitałów własnych (ROE)</t>
  </si>
  <si>
    <t>Zysk (strata) na jedną akcję zwykłą (zł)</t>
  </si>
  <si>
    <t>Wartość rynkowa akcji (tys. zł)</t>
  </si>
  <si>
    <t>Stopa zadłużenia (%)</t>
  </si>
  <si>
    <t>Wynik z udziałów w jednostkach stowarzyszonych wycenianych metodą praw własności</t>
  </si>
  <si>
    <t>Zmiana stanu środków trwałych przeznaczonych do sprzedaży</t>
  </si>
  <si>
    <t>Udzielenie pożyczek</t>
  </si>
  <si>
    <t>Wynik przypadający akcjonariuszom jednostki dominującej</t>
  </si>
  <si>
    <t>Wynik przypadający udziałom niedającym kontroli</t>
  </si>
  <si>
    <t>Suma całkowitych dochodów przypadająca akcjonariuszom jednostki dominującej</t>
  </si>
  <si>
    <t>Suma całkowitych dochodów przypadająca udziałom niedającym kontroli</t>
  </si>
  <si>
    <t>Należności z tytułu leasingu</t>
  </si>
  <si>
    <t>Kapitały przypadające akcjonariuszom jednostki dominującej</t>
  </si>
  <si>
    <t>Kapitały przypadające udziałom niedającym kontroli</t>
  </si>
  <si>
    <t>I-IIQ 15</t>
  </si>
  <si>
    <t>Zobowiązania z tytułu świadczeń pracowniczych</t>
  </si>
  <si>
    <t>IIQ 15</t>
  </si>
  <si>
    <t>Wynik na sprzedaży i likwidacji aktywów niematerialnych i rzeczowych aktywów trwałych</t>
  </si>
  <si>
    <t>I-IIIQ 15</t>
  </si>
  <si>
    <t>IIIQ 15</t>
  </si>
  <si>
    <t>I-IVQ 15</t>
  </si>
  <si>
    <t>IVQ 15</t>
  </si>
  <si>
    <t>IQ 16</t>
  </si>
  <si>
    <t>IQ16</t>
  </si>
  <si>
    <t>I-IIQ 16</t>
  </si>
  <si>
    <t>IIQ 16</t>
  </si>
  <si>
    <t>I-IIIQ 16</t>
  </si>
  <si>
    <t>IIIQ 16</t>
  </si>
  <si>
    <t>IVQ 16</t>
  </si>
  <si>
    <t>IQ 17</t>
  </si>
  <si>
    <t>IQ17</t>
  </si>
  <si>
    <t>I-IIQ 17</t>
  </si>
  <si>
    <t>IIQ 17</t>
  </si>
  <si>
    <t>-</t>
  </si>
  <si>
    <t>STAN NA KONIEC KWARTAŁU [PLN]</t>
  </si>
  <si>
    <t>I-IVQ 16</t>
  </si>
  <si>
    <t>LUBAWA S.A.: WYBRANE DANE FINANSOWE</t>
  </si>
  <si>
    <t>I-IIIQ 17</t>
  </si>
  <si>
    <t>IIIQ 17</t>
  </si>
  <si>
    <t>IVQ 17</t>
  </si>
  <si>
    <t>I-IVQ 17</t>
  </si>
  <si>
    <t>IQ 18</t>
  </si>
  <si>
    <t>I-IIQ 18</t>
  </si>
  <si>
    <t>IIQ 18</t>
  </si>
  <si>
    <t>IQ18</t>
  </si>
  <si>
    <t>I-IIIQ 18</t>
  </si>
  <si>
    <t>IIIQ 18</t>
  </si>
  <si>
    <t>I-IVQ 18</t>
  </si>
  <si>
    <t>IVQ 18</t>
  </si>
  <si>
    <t>Aktywa finansowe wyceniane w wartości godziwej przez inne całkowite dochody</t>
  </si>
  <si>
    <t>Aktywa finansowe wyceniane w wartości godziwej przez wynik finansowy</t>
  </si>
  <si>
    <t>IQ 19</t>
  </si>
  <si>
    <t>IQ19</t>
  </si>
  <si>
    <t>I-IIQ 19</t>
  </si>
  <si>
    <t>IIQ 19</t>
  </si>
  <si>
    <t>I-IIIQ 19</t>
  </si>
  <si>
    <t>IIIQ 19</t>
  </si>
  <si>
    <t>I-IIIQ19</t>
  </si>
  <si>
    <t>IIIQ19</t>
  </si>
  <si>
    <t>I-IVQ 19</t>
  </si>
  <si>
    <t>IVQ 19</t>
  </si>
  <si>
    <t>Reklasyfikacja nieruchomości</t>
  </si>
  <si>
    <t>Kredyty, pożyczki i zobowiązania z tytułu leasingu</t>
  </si>
  <si>
    <t>Spłata zobowiązań z tytułu leasingu</t>
  </si>
  <si>
    <t>IQ 20</t>
  </si>
  <si>
    <t>IQ20</t>
  </si>
  <si>
    <t>I-IIQ 20</t>
  </si>
  <si>
    <t>IIQ 20</t>
  </si>
  <si>
    <t>Wpływy z tytułu spłaty pożyczek i spłaty odsetek od udzielonych pożyczek</t>
  </si>
  <si>
    <t>I-IIIQ 20</t>
  </si>
  <si>
    <t>I-IIIQ20</t>
  </si>
  <si>
    <t>IIIQ20</t>
  </si>
  <si>
    <t>IIIQ 20</t>
  </si>
  <si>
    <t>Zmiana stanu instrumentów finansowych</t>
  </si>
  <si>
    <t>I-IVQ 20</t>
  </si>
  <si>
    <t>IVQ 20</t>
  </si>
  <si>
    <t>IQ 21</t>
  </si>
  <si>
    <t>IQ21</t>
  </si>
  <si>
    <t>I-IIQ 21</t>
  </si>
  <si>
    <t>IIQ 21</t>
  </si>
  <si>
    <t>I-IIIQ 21</t>
  </si>
  <si>
    <t>IIIQ21</t>
  </si>
  <si>
    <t>I-IIIQ21</t>
  </si>
  <si>
    <t>IIIQ 21</t>
  </si>
  <si>
    <t>I-IVQ 21</t>
  </si>
  <si>
    <t>IVQ 21</t>
  </si>
  <si>
    <t>IQ 22</t>
  </si>
  <si>
    <t>IQ22</t>
  </si>
  <si>
    <t>I-IIQ 22</t>
  </si>
  <si>
    <t>IIQ 22</t>
  </si>
  <si>
    <t>IIQ 2</t>
  </si>
  <si>
    <t>I-IIIQ 22</t>
  </si>
  <si>
    <t>IIIQ22</t>
  </si>
  <si>
    <t>I-IIIQ22</t>
  </si>
  <si>
    <t>IIIQ 22</t>
  </si>
  <si>
    <t>I-IVQ 22</t>
  </si>
  <si>
    <t>IVQ 22</t>
  </si>
  <si>
    <t>IVQ22</t>
  </si>
  <si>
    <t>Pozostałe kapitały rezerwowe</t>
  </si>
  <si>
    <t>Kapitał z nadwyżki ceny emisyjnej nad nominalną</t>
  </si>
  <si>
    <t>Zobowiązania z tytułu świadczeń pracowniczych*</t>
  </si>
  <si>
    <t>Rezerwy na pozostałe zobowiązania i inne obciążenia*</t>
  </si>
  <si>
    <t>* W celu jednolitej prezentacji danych w Grupie, w okresach porównawczych nastąpiło przesunięcie pomiedzy pozycją: Zobowiązania z tytułu świadczeń pracowniczych a pozycją: Rezerwy na pozostałe zobowiązania i inne obciążenia.</t>
  </si>
  <si>
    <t>IQ 23</t>
  </si>
  <si>
    <t>IQ23</t>
  </si>
  <si>
    <t>I-IIQ 23</t>
  </si>
  <si>
    <t>IIQ 23</t>
  </si>
  <si>
    <t>I-IIIQ 23</t>
  </si>
  <si>
    <t>IIIQ 23</t>
  </si>
  <si>
    <t>I-IIIQ23</t>
  </si>
  <si>
    <t>IIIQ23</t>
  </si>
  <si>
    <t>IVQ 23</t>
  </si>
  <si>
    <t>I-IVQ 23</t>
  </si>
  <si>
    <t>IQ 24</t>
  </si>
  <si>
    <t>IQ24</t>
  </si>
  <si>
    <t>I-IIQ 24</t>
  </si>
  <si>
    <t>IIQ 24</t>
  </si>
  <si>
    <t>I-IIIQ 24</t>
  </si>
  <si>
    <t>IIIQ 24</t>
  </si>
  <si>
    <t>I-IIIQ24</t>
  </si>
  <si>
    <t>IIIQ24</t>
  </si>
  <si>
    <t>IVQ 24</t>
  </si>
  <si>
    <t>I-IVQ 24</t>
  </si>
  <si>
    <t>Inne krótkoterminowe aktywa finansowe</t>
  </si>
  <si>
    <t>IQ 25</t>
  </si>
  <si>
    <t>IQ25</t>
  </si>
  <si>
    <t>I-IIQ 25</t>
  </si>
  <si>
    <t>IIQ 25</t>
  </si>
  <si>
    <t>Pozycje niepodlegające reklasyfikacji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</si>
</sst>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_-* #,##0.00\ _z_ł_-;\-* #,##0.00\ _z_ł_-;_-* \-??\ _z_ł_-;_-@_-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 tint="0.49998474074526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color rgb="FF000000"/>
      <name val="Czcionka tekstu podstawowego"/>
      <family val="2"/>
      <charset val="238"/>
    </font>
    <font>
      <sz val="11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 tint="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4"/>
      <color theme="1" tint="0.1499984740745262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16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22"/>
      <color theme="1" tint="4.9989318521683403E-2"/>
      <name val="Calibri"/>
      <family val="2"/>
      <scheme val="minor"/>
    </font>
    <font>
      <sz val="14"/>
      <color theme="1" tint="4.9989318521683403E-2"/>
      <name val="Calibri"/>
      <family val="2"/>
      <charset val="238"/>
      <scheme val="minor"/>
    </font>
    <font>
      <b/>
      <sz val="14"/>
      <color theme="1" tint="4.9989318521683403E-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4"/>
      <color theme="1" tint="0.499984740745262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 tint="0.249977111117893"/>
      <name val="Calibri"/>
      <family val="2"/>
      <scheme val="minor"/>
    </font>
    <font>
      <b/>
      <sz val="28"/>
      <color theme="0"/>
      <name val="Century Gothic"/>
      <family val="2"/>
      <charset val="238"/>
    </font>
    <font>
      <b/>
      <sz val="24"/>
      <color theme="1" tint="0.499984740745262"/>
      <name val="Century Gothic"/>
      <family val="2"/>
      <charset val="238"/>
    </font>
    <font>
      <b/>
      <sz val="24"/>
      <color theme="1" tint="4.9989318521683403E-2"/>
      <name val="Century Gothic"/>
      <family val="2"/>
      <charset val="238"/>
    </font>
    <font>
      <b/>
      <sz val="24"/>
      <name val="Century Gothic"/>
      <family val="2"/>
      <charset val="238"/>
    </font>
    <font>
      <b/>
      <sz val="26"/>
      <color theme="1" tint="0.499984740745262"/>
      <name val="Century Gothic"/>
      <family val="2"/>
      <charset val="238"/>
    </font>
    <font>
      <b/>
      <sz val="20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A203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/>
      <right/>
      <top style="thin">
        <color theme="1" tint="0.499984740745262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1" tint="4.9989318521683403E-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/>
      <right/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 tint="0.499984740745262"/>
      </right>
      <top/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0" tint="-0.24994659260841701"/>
      </top>
      <bottom/>
      <diagonal/>
    </border>
    <border>
      <left/>
      <right style="thin">
        <color theme="1" tint="0.49998474074526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theme="1" tint="4.9989318521683403E-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theme="1" tint="0.24994659260841701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0" tint="-0.34998626667073579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1" tint="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 tint="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 style="thin">
        <color theme="1" tint="4.9989318521683403E-2"/>
      </bottom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 tint="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24994659260841701"/>
      </right>
      <top/>
      <bottom style="thin">
        <color theme="1" tint="4.9989318521683403E-2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 tint="4.9989318521683403E-2"/>
      </top>
      <bottom style="thin">
        <color theme="0" tint="-0.24994659260841701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 tint="4.9989318521683403E-2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/>
      <bottom style="thin">
        <color theme="1" tint="4.9989318521683403E-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1" tint="4.9989318521683403E-2"/>
      </top>
      <bottom style="thin">
        <color theme="0" tint="-0.24994659260841701"/>
      </bottom>
      <diagonal/>
    </border>
  </borders>
  <cellStyleXfs count="12">
    <xf numFmtId="0" fontId="0" fillId="0" borderId="0"/>
    <xf numFmtId="0" fontId="6" fillId="0" borderId="0"/>
    <xf numFmtId="0" fontId="7" fillId="0" borderId="0"/>
    <xf numFmtId="0" fontId="41" fillId="0" borderId="0"/>
    <xf numFmtId="166" fontId="42" fillId="0" borderId="0" applyFill="0" applyBorder="0" applyAlignment="0" applyProtection="0"/>
    <xf numFmtId="0" fontId="43" fillId="0" borderId="0"/>
    <xf numFmtId="0" fontId="41" fillId="0" borderId="0"/>
    <xf numFmtId="0" fontId="42" fillId="0" borderId="0"/>
    <xf numFmtId="9" fontId="42" fillId="0" borderId="0" applyFill="0" applyBorder="0" applyAlignment="0" applyProtection="0"/>
    <xf numFmtId="0" fontId="42" fillId="0" borderId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</cellStyleXfs>
  <cellXfs count="533">
    <xf numFmtId="0" fontId="0" fillId="0" borderId="0" xfId="0"/>
    <xf numFmtId="0" fontId="0" fillId="3" borderId="0" xfId="0" applyFill="1"/>
    <xf numFmtId="0" fontId="0" fillId="4" borderId="0" xfId="0" applyFill="1"/>
    <xf numFmtId="0" fontId="2" fillId="0" borderId="0" xfId="0" applyFont="1" applyAlignment="1">
      <alignment horizontal="left" wrapText="1"/>
    </xf>
    <xf numFmtId="0" fontId="3" fillId="0" borderId="0" xfId="0" applyFont="1"/>
    <xf numFmtId="0" fontId="8" fillId="0" borderId="0" xfId="0" applyFont="1"/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0" xfId="0" applyFont="1"/>
    <xf numFmtId="0" fontId="18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0" xfId="0" applyFont="1"/>
    <xf numFmtId="0" fontId="14" fillId="0" borderId="0" xfId="0" applyFont="1"/>
    <xf numFmtId="0" fontId="22" fillId="3" borderId="6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6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vertical="center"/>
    </xf>
    <xf numFmtId="4" fontId="12" fillId="2" borderId="6" xfId="0" applyNumberFormat="1" applyFont="1" applyFill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5" fillId="3" borderId="6" xfId="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4" fontId="5" fillId="2" borderId="7" xfId="0" applyNumberFormat="1" applyFont="1" applyFill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right" vertical="center"/>
    </xf>
    <xf numFmtId="4" fontId="4" fillId="2" borderId="14" xfId="0" applyNumberFormat="1" applyFont="1" applyFill="1" applyBorder="1" applyAlignment="1">
      <alignment horizontal="right" vertical="center"/>
    </xf>
    <xf numFmtId="4" fontId="4" fillId="2" borderId="15" xfId="0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/>
    </xf>
    <xf numFmtId="4" fontId="21" fillId="2" borderId="6" xfId="0" applyNumberFormat="1" applyFont="1" applyFill="1" applyBorder="1" applyAlignment="1">
      <alignment horizontal="right" vertical="center"/>
    </xf>
    <xf numFmtId="4" fontId="21" fillId="2" borderId="12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4" fontId="12" fillId="2" borderId="14" xfId="0" applyNumberFormat="1" applyFont="1" applyFill="1" applyBorder="1" applyAlignment="1">
      <alignment vertical="center"/>
    </xf>
    <xf numFmtId="4" fontId="12" fillId="3" borderId="14" xfId="0" applyNumberFormat="1" applyFont="1" applyFill="1" applyBorder="1" applyAlignment="1">
      <alignment vertical="center"/>
    </xf>
    <xf numFmtId="4" fontId="12" fillId="2" borderId="12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vertical="center"/>
    </xf>
    <xf numFmtId="4" fontId="4" fillId="3" borderId="6" xfId="0" applyNumberFormat="1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4" fontId="21" fillId="3" borderId="6" xfId="0" applyNumberFormat="1" applyFont="1" applyFill="1" applyBorder="1" applyAlignment="1">
      <alignment vertical="center"/>
    </xf>
    <xf numFmtId="4" fontId="21" fillId="2" borderId="6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4" fontId="21" fillId="2" borderId="12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0" fontId="14" fillId="3" borderId="6" xfId="0" applyFont="1" applyFill="1" applyBorder="1" applyAlignment="1">
      <alignment vertical="center" wrapText="1"/>
    </xf>
    <xf numFmtId="0" fontId="4" fillId="3" borderId="0" xfId="0" applyFont="1" applyFill="1"/>
    <xf numFmtId="4" fontId="4" fillId="3" borderId="5" xfId="0" applyNumberFormat="1" applyFont="1" applyFill="1" applyBorder="1" applyAlignment="1">
      <alignment vertical="center"/>
    </xf>
    <xf numFmtId="4" fontId="23" fillId="3" borderId="6" xfId="0" applyNumberFormat="1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4" fontId="24" fillId="3" borderId="4" xfId="0" applyNumberFormat="1" applyFont="1" applyFill="1" applyBorder="1" applyAlignment="1">
      <alignment vertical="center"/>
    </xf>
    <xf numFmtId="4" fontId="24" fillId="2" borderId="4" xfId="0" applyNumberFormat="1" applyFont="1" applyFill="1" applyBorder="1" applyAlignment="1">
      <alignment vertical="center"/>
    </xf>
    <xf numFmtId="4" fontId="24" fillId="2" borderId="3" xfId="0" applyNumberFormat="1" applyFont="1" applyFill="1" applyBorder="1" applyAlignment="1">
      <alignment vertical="center"/>
    </xf>
    <xf numFmtId="4" fontId="24" fillId="3" borderId="6" xfId="0" applyNumberFormat="1" applyFont="1" applyFill="1" applyBorder="1" applyAlignment="1">
      <alignment vertical="center"/>
    </xf>
    <xf numFmtId="4" fontId="24" fillId="2" borderId="6" xfId="0" applyNumberFormat="1" applyFont="1" applyFill="1" applyBorder="1" applyAlignment="1">
      <alignment vertical="center"/>
    </xf>
    <xf numFmtId="4" fontId="24" fillId="2" borderId="5" xfId="0" applyNumberFormat="1" applyFont="1" applyFill="1" applyBorder="1" applyAlignment="1">
      <alignment vertical="center"/>
    </xf>
    <xf numFmtId="4" fontId="25" fillId="3" borderId="6" xfId="0" applyNumberFormat="1" applyFont="1" applyFill="1" applyBorder="1" applyAlignment="1">
      <alignment vertical="center"/>
    </xf>
    <xf numFmtId="4" fontId="25" fillId="2" borderId="6" xfId="0" applyNumberFormat="1" applyFont="1" applyFill="1" applyBorder="1" applyAlignment="1">
      <alignment vertical="center"/>
    </xf>
    <xf numFmtId="4" fontId="25" fillId="2" borderId="5" xfId="0" applyNumberFormat="1" applyFont="1" applyFill="1" applyBorder="1" applyAlignment="1">
      <alignment vertical="center"/>
    </xf>
    <xf numFmtId="0" fontId="8" fillId="3" borderId="0" xfId="0" applyFont="1" applyFill="1"/>
    <xf numFmtId="0" fontId="27" fillId="4" borderId="0" xfId="0" applyFont="1" applyFill="1"/>
    <xf numFmtId="0" fontId="12" fillId="2" borderId="12" xfId="0" applyFont="1" applyFill="1" applyBorder="1" applyAlignment="1">
      <alignment vertical="center"/>
    </xf>
    <xf numFmtId="4" fontId="12" fillId="2" borderId="11" xfId="0" applyNumberFormat="1" applyFont="1" applyFill="1" applyBorder="1" applyAlignment="1">
      <alignment vertical="center"/>
    </xf>
    <xf numFmtId="4" fontId="5" fillId="2" borderId="13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1" fillId="3" borderId="2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25" fillId="2" borderId="24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2" fontId="4" fillId="3" borderId="6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29" fillId="4" borderId="0" xfId="0" applyFont="1" applyFill="1"/>
    <xf numFmtId="0" fontId="30" fillId="4" borderId="0" xfId="0" applyFont="1" applyFill="1" applyAlignment="1">
      <alignment horizontal="right"/>
    </xf>
    <xf numFmtId="0" fontId="31" fillId="0" borderId="0" xfId="0" applyFont="1"/>
    <xf numFmtId="4" fontId="31" fillId="0" borderId="0" xfId="0" applyNumberFormat="1" applyFont="1"/>
    <xf numFmtId="4" fontId="26" fillId="0" borderId="0" xfId="0" applyNumberFormat="1" applyFont="1"/>
    <xf numFmtId="0" fontId="26" fillId="0" borderId="0" xfId="0" applyFont="1"/>
    <xf numFmtId="4" fontId="32" fillId="0" borderId="0" xfId="0" applyNumberFormat="1" applyFont="1"/>
    <xf numFmtId="0" fontId="32" fillId="0" borderId="0" xfId="0" applyFont="1"/>
    <xf numFmtId="0" fontId="33" fillId="0" borderId="0" xfId="0" applyFont="1"/>
    <xf numFmtId="4" fontId="5" fillId="0" borderId="6" xfId="0" applyNumberFormat="1" applyFont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4" fontId="5" fillId="2" borderId="12" xfId="0" applyNumberFormat="1" applyFont="1" applyFill="1" applyBorder="1" applyAlignment="1">
      <alignment horizontal="right" vertical="center"/>
    </xf>
    <xf numFmtId="4" fontId="36" fillId="3" borderId="6" xfId="0" applyNumberFormat="1" applyFont="1" applyFill="1" applyBorder="1" applyAlignment="1">
      <alignment vertical="center"/>
    </xf>
    <xf numFmtId="0" fontId="36" fillId="3" borderId="6" xfId="0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4" fontId="37" fillId="3" borderId="6" xfId="0" applyNumberFormat="1" applyFont="1" applyFill="1" applyBorder="1" applyAlignment="1">
      <alignment vertical="center"/>
    </xf>
    <xf numFmtId="4" fontId="38" fillId="3" borderId="6" xfId="0" applyNumberFormat="1" applyFont="1" applyFill="1" applyBorder="1" applyAlignment="1">
      <alignment vertical="center"/>
    </xf>
    <xf numFmtId="4" fontId="38" fillId="3" borderId="7" xfId="0" applyNumberFormat="1" applyFont="1" applyFill="1" applyBorder="1" applyAlignment="1">
      <alignment vertical="center"/>
    </xf>
    <xf numFmtId="4" fontId="39" fillId="0" borderId="6" xfId="0" applyNumberFormat="1" applyFont="1" applyBorder="1" applyAlignment="1">
      <alignment horizontal="right" vertical="center"/>
    </xf>
    <xf numFmtId="4" fontId="39" fillId="0" borderId="14" xfId="0" applyNumberFormat="1" applyFont="1" applyBorder="1" applyAlignment="1">
      <alignment horizontal="right" vertical="center"/>
    </xf>
    <xf numFmtId="4" fontId="23" fillId="0" borderId="6" xfId="0" applyNumberFormat="1" applyFont="1" applyBorder="1" applyAlignment="1">
      <alignment horizontal="right" vertical="center"/>
    </xf>
    <xf numFmtId="4" fontId="14" fillId="0" borderId="0" xfId="0" applyNumberFormat="1" applyFont="1"/>
    <xf numFmtId="0" fontId="13" fillId="4" borderId="0" xfId="0" applyFont="1" applyFill="1" applyAlignment="1">
      <alignment horizontal="left" vertical="center"/>
    </xf>
    <xf numFmtId="3" fontId="4" fillId="3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3" fontId="4" fillId="2" borderId="12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0" fontId="4" fillId="3" borderId="6" xfId="0" applyNumberFormat="1" applyFont="1" applyFill="1" applyBorder="1" applyAlignment="1">
      <alignment horizontal="right" vertical="center"/>
    </xf>
    <xf numFmtId="10" fontId="4" fillId="2" borderId="6" xfId="0" applyNumberFormat="1" applyFont="1" applyFill="1" applyBorder="1" applyAlignment="1">
      <alignment horizontal="right" vertical="center"/>
    </xf>
    <xf numFmtId="10" fontId="4" fillId="2" borderId="12" xfId="0" applyNumberFormat="1" applyFont="1" applyFill="1" applyBorder="1" applyAlignment="1">
      <alignment horizontal="right" vertical="center"/>
    </xf>
    <xf numFmtId="10" fontId="4" fillId="0" borderId="6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" fontId="24" fillId="0" borderId="0" xfId="0" applyNumberFormat="1" applyFont="1"/>
    <xf numFmtId="4" fontId="26" fillId="3" borderId="0" xfId="0" applyNumberFormat="1" applyFont="1" applyFill="1"/>
    <xf numFmtId="0" fontId="11" fillId="0" borderId="0" xfId="0" applyFont="1" applyAlignment="1">
      <alignment horizontal="center"/>
    </xf>
    <xf numFmtId="0" fontId="16" fillId="3" borderId="6" xfId="0" applyFont="1" applyFill="1" applyBorder="1" applyAlignment="1">
      <alignment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vertical="center"/>
    </xf>
    <xf numFmtId="4" fontId="21" fillId="3" borderId="12" xfId="0" applyNumberFormat="1" applyFont="1" applyFill="1" applyBorder="1" applyAlignment="1">
      <alignment vertical="center"/>
    </xf>
    <xf numFmtId="4" fontId="4" fillId="3" borderId="12" xfId="0" applyNumberFormat="1" applyFont="1" applyFill="1" applyBorder="1" applyAlignment="1">
      <alignment vertical="center"/>
    </xf>
    <xf numFmtId="4" fontId="23" fillId="3" borderId="12" xfId="0" applyNumberFormat="1" applyFont="1" applyFill="1" applyBorder="1" applyAlignment="1">
      <alignment vertical="center"/>
    </xf>
    <xf numFmtId="4" fontId="23" fillId="3" borderId="5" xfId="0" applyNumberFormat="1" applyFont="1" applyFill="1" applyBorder="1" applyAlignment="1">
      <alignment vertical="center"/>
    </xf>
    <xf numFmtId="4" fontId="12" fillId="3" borderId="5" xfId="0" applyNumberFormat="1" applyFont="1" applyFill="1" applyBorder="1" applyAlignment="1">
      <alignment vertical="center"/>
    </xf>
    <xf numFmtId="4" fontId="12" fillId="3" borderId="12" xfId="0" applyNumberFormat="1" applyFont="1" applyFill="1" applyBorder="1" applyAlignment="1">
      <alignment vertical="center"/>
    </xf>
    <xf numFmtId="4" fontId="5" fillId="3" borderId="12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" fontId="12" fillId="3" borderId="15" xfId="0" applyNumberFormat="1" applyFont="1" applyFill="1" applyBorder="1" applyAlignment="1">
      <alignment vertical="center"/>
    </xf>
    <xf numFmtId="4" fontId="38" fillId="0" borderId="6" xfId="0" applyNumberFormat="1" applyFont="1" applyBorder="1" applyAlignment="1">
      <alignment horizontal="right" vertical="center"/>
    </xf>
    <xf numFmtId="4" fontId="12" fillId="2" borderId="5" xfId="0" applyNumberFormat="1" applyFont="1" applyFill="1" applyBorder="1" applyAlignment="1">
      <alignment vertical="center"/>
    </xf>
    <xf numFmtId="4" fontId="37" fillId="2" borderId="5" xfId="0" applyNumberFormat="1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vertical="center"/>
    </xf>
    <xf numFmtId="4" fontId="5" fillId="2" borderId="27" xfId="0" applyNumberFormat="1" applyFont="1" applyFill="1" applyBorder="1" applyAlignment="1">
      <alignment vertical="center"/>
    </xf>
    <xf numFmtId="0" fontId="45" fillId="4" borderId="0" xfId="0" applyFont="1" applyFill="1" applyAlignment="1">
      <alignment horizontal="left" vertical="center"/>
    </xf>
    <xf numFmtId="0" fontId="5" fillId="0" borderId="0" xfId="0" applyFont="1"/>
    <xf numFmtId="4" fontId="17" fillId="0" borderId="6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" fontId="12" fillId="0" borderId="0" xfId="0" applyNumberFormat="1" applyFont="1"/>
    <xf numFmtId="4" fontId="17" fillId="2" borderId="5" xfId="0" applyNumberFormat="1" applyFont="1" applyFill="1" applyBorder="1" applyAlignment="1">
      <alignment vertical="center"/>
    </xf>
    <xf numFmtId="4" fontId="46" fillId="3" borderId="6" xfId="0" applyNumberFormat="1" applyFont="1" applyFill="1" applyBorder="1" applyAlignment="1">
      <alignment vertical="center"/>
    </xf>
    <xf numFmtId="4" fontId="17" fillId="2" borderId="6" xfId="0" applyNumberFormat="1" applyFont="1" applyFill="1" applyBorder="1" applyAlignment="1">
      <alignment vertical="center"/>
    </xf>
    <xf numFmtId="4" fontId="17" fillId="3" borderId="6" xfId="0" applyNumberFormat="1" applyFont="1" applyFill="1" applyBorder="1" applyAlignment="1">
      <alignment vertical="center"/>
    </xf>
    <xf numFmtId="4" fontId="17" fillId="2" borderId="12" xfId="0" applyNumberFormat="1" applyFont="1" applyFill="1" applyBorder="1" applyAlignment="1">
      <alignment vertical="center"/>
    </xf>
    <xf numFmtId="0" fontId="47" fillId="0" borderId="0" xfId="0" applyFont="1"/>
    <xf numFmtId="0" fontId="15" fillId="0" borderId="6" xfId="0" applyFont="1" applyBorder="1"/>
    <xf numFmtId="0" fontId="5" fillId="3" borderId="19" xfId="0" applyFont="1" applyFill="1" applyBorder="1" applyAlignment="1">
      <alignment horizontal="center" vertical="center"/>
    </xf>
    <xf numFmtId="4" fontId="4" fillId="3" borderId="28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12" fillId="0" borderId="6" xfId="0" applyNumberFormat="1" applyFont="1" applyBorder="1" applyAlignment="1">
      <alignment vertical="center" wrapText="1"/>
    </xf>
    <xf numFmtId="4" fontId="37" fillId="0" borderId="6" xfId="0" applyNumberFormat="1" applyFont="1" applyBorder="1" applyAlignment="1">
      <alignment vertical="center"/>
    </xf>
    <xf numFmtId="4" fontId="5" fillId="0" borderId="6" xfId="0" applyNumberFormat="1" applyFont="1" applyBorder="1"/>
    <xf numFmtId="4" fontId="17" fillId="2" borderId="12" xfId="0" applyNumberFormat="1" applyFont="1" applyFill="1" applyBorder="1" applyAlignment="1">
      <alignment horizontal="right" vertical="center"/>
    </xf>
    <xf numFmtId="4" fontId="46" fillId="0" borderId="6" xfId="0" applyNumberFormat="1" applyFont="1" applyBorder="1" applyAlignment="1">
      <alignment horizontal="right" vertical="center"/>
    </xf>
    <xf numFmtId="4" fontId="17" fillId="2" borderId="6" xfId="0" applyNumberFormat="1" applyFont="1" applyFill="1" applyBorder="1" applyAlignment="1">
      <alignment horizontal="right" vertical="center"/>
    </xf>
    <xf numFmtId="4" fontId="17" fillId="0" borderId="6" xfId="0" applyNumberFormat="1" applyFont="1" applyBorder="1" applyAlignment="1">
      <alignment horizontal="right" vertical="center"/>
    </xf>
    <xf numFmtId="4" fontId="17" fillId="3" borderId="5" xfId="0" applyNumberFormat="1" applyFont="1" applyFill="1" applyBorder="1" applyAlignment="1">
      <alignment horizontal="right" vertical="center"/>
    </xf>
    <xf numFmtId="4" fontId="17" fillId="3" borderId="1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0" fillId="3" borderId="0" xfId="0" applyFont="1" applyFill="1"/>
    <xf numFmtId="0" fontId="38" fillId="2" borderId="19" xfId="0" applyFont="1" applyFill="1" applyBorder="1" applyAlignment="1">
      <alignment horizontal="center" vertical="center"/>
    </xf>
    <xf numFmtId="4" fontId="38" fillId="2" borderId="5" xfId="0" applyNumberFormat="1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12" fillId="3" borderId="0" xfId="0" applyFont="1" applyFill="1"/>
    <xf numFmtId="0" fontId="5" fillId="3" borderId="23" xfId="0" applyFont="1" applyFill="1" applyBorder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10" fontId="12" fillId="0" borderId="6" xfId="0" applyNumberFormat="1" applyFont="1" applyBorder="1" applyAlignment="1">
      <alignment vertical="center"/>
    </xf>
    <xf numFmtId="10" fontId="12" fillId="2" borderId="5" xfId="0" applyNumberFormat="1" applyFont="1" applyFill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2" fontId="12" fillId="2" borderId="5" xfId="0" applyNumberFormat="1" applyFont="1" applyFill="1" applyBorder="1" applyAlignment="1">
      <alignment vertical="center"/>
    </xf>
    <xf numFmtId="4" fontId="34" fillId="2" borderId="3" xfId="0" applyNumberFormat="1" applyFont="1" applyFill="1" applyBorder="1" applyAlignment="1">
      <alignment vertical="center"/>
    </xf>
    <xf numFmtId="4" fontId="34" fillId="2" borderId="5" xfId="0" applyNumberFormat="1" applyFont="1" applyFill="1" applyBorder="1" applyAlignment="1">
      <alignment vertical="center"/>
    </xf>
    <xf numFmtId="0" fontId="34" fillId="0" borderId="0" xfId="0" applyFont="1"/>
    <xf numFmtId="4" fontId="34" fillId="0" borderId="6" xfId="0" applyNumberFormat="1" applyFont="1" applyBorder="1" applyAlignment="1">
      <alignment vertical="center"/>
    </xf>
    <xf numFmtId="4" fontId="35" fillId="0" borderId="6" xfId="0" applyNumberFormat="1" applyFont="1" applyBorder="1" applyAlignment="1">
      <alignment vertical="center"/>
    </xf>
    <xf numFmtId="0" fontId="35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4" fontId="34" fillId="0" borderId="4" xfId="0" applyNumberFormat="1" applyFont="1" applyBorder="1" applyAlignment="1">
      <alignment vertical="center"/>
    </xf>
    <xf numFmtId="4" fontId="35" fillId="2" borderId="6" xfId="0" applyNumberFormat="1" applyFont="1" applyFill="1" applyBorder="1" applyAlignment="1">
      <alignment vertical="center"/>
    </xf>
    <xf numFmtId="4" fontId="24" fillId="2" borderId="32" xfId="0" applyNumberFormat="1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0" borderId="6" xfId="0" applyFont="1" applyBorder="1"/>
    <xf numFmtId="4" fontId="12" fillId="0" borderId="14" xfId="0" applyNumberFormat="1" applyFont="1" applyBorder="1" applyAlignment="1">
      <alignment vertical="center"/>
    </xf>
    <xf numFmtId="4" fontId="4" fillId="0" borderId="0" xfId="0" applyNumberFormat="1" applyFont="1"/>
    <xf numFmtId="0" fontId="21" fillId="2" borderId="33" xfId="0" applyFont="1" applyFill="1" applyBorder="1" applyAlignment="1">
      <alignment horizontal="center" vertical="center"/>
    </xf>
    <xf numFmtId="4" fontId="21" fillId="2" borderId="34" xfId="0" applyNumberFormat="1" applyFont="1" applyFill="1" applyBorder="1" applyAlignment="1">
      <alignment vertical="center"/>
    </xf>
    <xf numFmtId="4" fontId="12" fillId="2" borderId="34" xfId="0" applyNumberFormat="1" applyFont="1" applyFill="1" applyBorder="1" applyAlignment="1">
      <alignment vertical="center"/>
    </xf>
    <xf numFmtId="4" fontId="4" fillId="2" borderId="34" xfId="0" applyNumberFormat="1" applyFont="1" applyFill="1" applyBorder="1" applyAlignment="1">
      <alignment vertical="center"/>
    </xf>
    <xf numFmtId="0" fontId="45" fillId="4" borderId="0" xfId="0" applyFont="1" applyFill="1" applyAlignment="1">
      <alignment horizontal="center" vertical="center"/>
    </xf>
    <xf numFmtId="4" fontId="34" fillId="0" borderId="0" xfId="0" applyNumberFormat="1" applyFont="1"/>
    <xf numFmtId="0" fontId="35" fillId="0" borderId="0" xfId="0" applyFont="1" applyAlignment="1">
      <alignment horizontal="center" vertical="center"/>
    </xf>
    <xf numFmtId="4" fontId="34" fillId="0" borderId="35" xfId="0" applyNumberFormat="1" applyFont="1" applyBorder="1" applyAlignment="1">
      <alignment vertical="center"/>
    </xf>
    <xf numFmtId="4" fontId="35" fillId="0" borderId="35" xfId="0" applyNumberFormat="1" applyFont="1" applyBorder="1" applyAlignment="1">
      <alignment vertical="center"/>
    </xf>
    <xf numFmtId="0" fontId="34" fillId="0" borderId="35" xfId="0" applyFont="1" applyBorder="1" applyAlignment="1">
      <alignment vertical="center"/>
    </xf>
    <xf numFmtId="0" fontId="5" fillId="3" borderId="37" xfId="0" applyFont="1" applyFill="1" applyBorder="1" applyAlignment="1">
      <alignment horizontal="center" vertical="center"/>
    </xf>
    <xf numFmtId="4" fontId="12" fillId="0" borderId="38" xfId="0" applyNumberFormat="1" applyFont="1" applyBorder="1" applyAlignment="1">
      <alignment vertical="center"/>
    </xf>
    <xf numFmtId="3" fontId="12" fillId="0" borderId="36" xfId="0" applyNumberFormat="1" applyFont="1" applyBorder="1" applyAlignment="1">
      <alignment vertical="center"/>
    </xf>
    <xf numFmtId="0" fontId="37" fillId="0" borderId="0" xfId="0" applyFont="1"/>
    <xf numFmtId="10" fontId="12" fillId="0" borderId="38" xfId="0" applyNumberFormat="1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2" fillId="0" borderId="39" xfId="0" applyFont="1" applyBorder="1"/>
    <xf numFmtId="0" fontId="5" fillId="2" borderId="39" xfId="0" applyFont="1" applyFill="1" applyBorder="1" applyAlignment="1">
      <alignment horizontal="center" vertical="center"/>
    </xf>
    <xf numFmtId="4" fontId="4" fillId="2" borderId="40" xfId="0" applyNumberFormat="1" applyFont="1" applyFill="1" applyBorder="1" applyAlignment="1">
      <alignment horizontal="right" vertical="center"/>
    </xf>
    <xf numFmtId="4" fontId="4" fillId="2" borderId="41" xfId="0" applyNumberFormat="1" applyFont="1" applyFill="1" applyBorder="1" applyAlignment="1">
      <alignment horizontal="right" vertical="center"/>
    </xf>
    <xf numFmtId="4" fontId="21" fillId="2" borderId="41" xfId="0" applyNumberFormat="1" applyFont="1" applyFill="1" applyBorder="1" applyAlignment="1">
      <alignment horizontal="right" vertical="center"/>
    </xf>
    <xf numFmtId="4" fontId="17" fillId="2" borderId="41" xfId="0" applyNumberFormat="1" applyFont="1" applyFill="1" applyBorder="1" applyAlignment="1">
      <alignment horizontal="right" vertical="center"/>
    </xf>
    <xf numFmtId="4" fontId="5" fillId="2" borderId="41" xfId="0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right" vertical="center"/>
    </xf>
    <xf numFmtId="4" fontId="21" fillId="0" borderId="12" xfId="0" applyNumberFormat="1" applyFont="1" applyBorder="1" applyAlignment="1">
      <alignment horizontal="right" vertical="center"/>
    </xf>
    <xf numFmtId="4" fontId="17" fillId="0" borderId="12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3" xfId="0" applyFont="1" applyBorder="1"/>
    <xf numFmtId="0" fontId="21" fillId="2" borderId="43" xfId="0" applyFont="1" applyFill="1" applyBorder="1" applyAlignment="1">
      <alignment horizontal="center" vertical="center"/>
    </xf>
    <xf numFmtId="4" fontId="21" fillId="2" borderId="44" xfId="0" applyNumberFormat="1" applyFont="1" applyFill="1" applyBorder="1" applyAlignment="1">
      <alignment vertical="center"/>
    </xf>
    <xf numFmtId="4" fontId="12" fillId="2" borderId="44" xfId="0" applyNumberFormat="1" applyFont="1" applyFill="1" applyBorder="1" applyAlignment="1">
      <alignment vertical="center"/>
    </xf>
    <xf numFmtId="4" fontId="4" fillId="2" borderId="44" xfId="0" applyNumberFormat="1" applyFont="1" applyFill="1" applyBorder="1" applyAlignment="1">
      <alignment vertical="center"/>
    </xf>
    <xf numFmtId="0" fontId="38" fillId="0" borderId="19" xfId="0" applyFont="1" applyBorder="1" applyAlignment="1">
      <alignment horizontal="center" vertical="center"/>
    </xf>
    <xf numFmtId="4" fontId="38" fillId="0" borderId="5" xfId="0" applyNumberFormat="1" applyFont="1" applyBorder="1" applyAlignment="1">
      <alignment vertical="center"/>
    </xf>
    <xf numFmtId="4" fontId="37" fillId="0" borderId="5" xfId="0" applyNumberFormat="1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10" fontId="14" fillId="0" borderId="0" xfId="11" applyNumberFormat="1" applyFont="1"/>
    <xf numFmtId="4" fontId="4" fillId="2" borderId="33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48" fillId="4" borderId="0" xfId="0" applyFont="1" applyFill="1"/>
    <xf numFmtId="0" fontId="48" fillId="0" borderId="0" xfId="0" applyFont="1"/>
    <xf numFmtId="0" fontId="49" fillId="0" borderId="0" xfId="0" applyFont="1" applyAlignment="1">
      <alignment horizontal="left" vertical="center" wrapText="1"/>
    </xf>
    <xf numFmtId="0" fontId="50" fillId="0" borderId="21" xfId="0" applyFont="1" applyBorder="1" applyAlignment="1">
      <alignment horizontal="center" vertical="center"/>
    </xf>
    <xf numFmtId="0" fontId="51" fillId="2" borderId="25" xfId="0" applyFont="1" applyFill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51" fillId="2" borderId="21" xfId="0" applyFont="1" applyFill="1" applyBorder="1" applyAlignment="1">
      <alignment horizontal="center" vertical="center"/>
    </xf>
    <xf numFmtId="0" fontId="51" fillId="3" borderId="0" xfId="0" applyFont="1" applyFill="1" applyAlignment="1">
      <alignment horizontal="center" vertical="center"/>
    </xf>
    <xf numFmtId="0" fontId="53" fillId="0" borderId="9" xfId="0" applyFont="1" applyBorder="1" applyAlignment="1">
      <alignment vertical="center"/>
    </xf>
    <xf numFmtId="4" fontId="54" fillId="2" borderId="17" xfId="0" applyNumberFormat="1" applyFont="1" applyFill="1" applyBorder="1" applyAlignment="1">
      <alignment horizontal="right" vertical="center"/>
    </xf>
    <xf numFmtId="4" fontId="50" fillId="0" borderId="16" xfId="0" applyNumberFormat="1" applyFont="1" applyBorder="1" applyAlignment="1">
      <alignment horizontal="right" vertical="center"/>
    </xf>
    <xf numFmtId="4" fontId="50" fillId="2" borderId="16" xfId="0" applyNumberFormat="1" applyFont="1" applyFill="1" applyBorder="1" applyAlignment="1">
      <alignment horizontal="right" vertical="center"/>
    </xf>
    <xf numFmtId="4" fontId="50" fillId="3" borderId="0" xfId="0" applyNumberFormat="1" applyFont="1" applyFill="1" applyAlignment="1">
      <alignment horizontal="right" vertical="center"/>
    </xf>
    <xf numFmtId="0" fontId="55" fillId="3" borderId="0" xfId="0" applyFont="1" applyFill="1"/>
    <xf numFmtId="4" fontId="55" fillId="3" borderId="0" xfId="0" applyNumberFormat="1" applyFont="1" applyFill="1" applyAlignment="1">
      <alignment horizontal="right" vertical="center"/>
    </xf>
    <xf numFmtId="0" fontId="53" fillId="0" borderId="6" xfId="0" applyFont="1" applyBorder="1" applyAlignment="1">
      <alignment vertical="center"/>
    </xf>
    <xf numFmtId="4" fontId="54" fillId="2" borderId="8" xfId="0" applyNumberFormat="1" applyFont="1" applyFill="1" applyBorder="1" applyAlignment="1">
      <alignment horizontal="right" vertical="center"/>
    </xf>
    <xf numFmtId="4" fontId="50" fillId="0" borderId="6" xfId="0" applyNumberFormat="1" applyFont="1" applyBorder="1" applyAlignment="1">
      <alignment horizontal="right" vertical="center"/>
    </xf>
    <xf numFmtId="4" fontId="50" fillId="2" borderId="6" xfId="0" applyNumberFormat="1" applyFont="1" applyFill="1" applyBorder="1" applyAlignment="1">
      <alignment horizontal="right" vertical="center"/>
    </xf>
    <xf numFmtId="4" fontId="56" fillId="3" borderId="0" xfId="0" applyNumberFormat="1" applyFont="1" applyFill="1" applyAlignment="1">
      <alignment horizontal="right" vertical="center"/>
    </xf>
    <xf numFmtId="0" fontId="57" fillId="0" borderId="6" xfId="0" applyFont="1" applyBorder="1" applyAlignment="1">
      <alignment vertical="center"/>
    </xf>
    <xf numFmtId="0" fontId="53" fillId="0" borderId="0" xfId="0" applyFont="1"/>
    <xf numFmtId="0" fontId="58" fillId="0" borderId="0" xfId="0" applyFont="1"/>
    <xf numFmtId="0" fontId="51" fillId="0" borderId="0" xfId="0" applyFont="1"/>
    <xf numFmtId="0" fontId="51" fillId="2" borderId="0" xfId="0" applyFont="1" applyFill="1" applyAlignment="1">
      <alignment horizontal="center" vertical="center"/>
    </xf>
    <xf numFmtId="4" fontId="50" fillId="2" borderId="16" xfId="0" applyNumberFormat="1" applyFont="1" applyFill="1" applyBorder="1" applyAlignment="1">
      <alignment vertical="center"/>
    </xf>
    <xf numFmtId="4" fontId="50" fillId="2" borderId="6" xfId="0" applyNumberFormat="1" applyFont="1" applyFill="1" applyBorder="1" applyAlignment="1">
      <alignment vertical="center"/>
    </xf>
    <xf numFmtId="0" fontId="59" fillId="0" borderId="0" xfId="0" applyFont="1"/>
    <xf numFmtId="0" fontId="50" fillId="0" borderId="0" xfId="0" applyFont="1"/>
    <xf numFmtId="165" fontId="48" fillId="0" borderId="0" xfId="0" applyNumberFormat="1" applyFont="1"/>
    <xf numFmtId="0" fontId="51" fillId="0" borderId="0" xfId="0" applyFont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4" fontId="50" fillId="0" borderId="16" xfId="0" applyNumberFormat="1" applyFont="1" applyBorder="1" applyAlignment="1">
      <alignment vertical="center"/>
    </xf>
    <xf numFmtId="164" fontId="50" fillId="0" borderId="20" xfId="0" applyNumberFormat="1" applyFont="1" applyBorder="1" applyAlignment="1">
      <alignment vertical="center"/>
    </xf>
    <xf numFmtId="164" fontId="50" fillId="0" borderId="16" xfId="0" applyNumberFormat="1" applyFont="1" applyBorder="1" applyAlignment="1">
      <alignment horizontal="right" vertical="center"/>
    </xf>
    <xf numFmtId="4" fontId="50" fillId="0" borderId="20" xfId="0" applyNumberFormat="1" applyFont="1" applyBorder="1" applyAlignment="1">
      <alignment horizontal="right" vertical="center"/>
    </xf>
    <xf numFmtId="4" fontId="50" fillId="0" borderId="6" xfId="0" applyNumberFormat="1" applyFont="1" applyBorder="1" applyAlignment="1">
      <alignment vertical="center"/>
    </xf>
    <xf numFmtId="164" fontId="50" fillId="0" borderId="5" xfId="0" applyNumberFormat="1" applyFont="1" applyBorder="1" applyAlignment="1">
      <alignment vertical="center"/>
    </xf>
    <xf numFmtId="164" fontId="50" fillId="0" borderId="6" xfId="0" applyNumberFormat="1" applyFont="1" applyBorder="1" applyAlignment="1">
      <alignment horizontal="right" vertical="center"/>
    </xf>
    <xf numFmtId="4" fontId="50" fillId="0" borderId="5" xfId="0" applyNumberFormat="1" applyFont="1" applyBorder="1" applyAlignment="1">
      <alignment horizontal="right" vertical="center"/>
    </xf>
    <xf numFmtId="4" fontId="50" fillId="0" borderId="5" xfId="0" applyNumberFormat="1" applyFont="1" applyBorder="1" applyAlignment="1">
      <alignment vertical="center"/>
    </xf>
    <xf numFmtId="0" fontId="52" fillId="2" borderId="30" xfId="0" applyFont="1" applyFill="1" applyBorder="1" applyAlignment="1">
      <alignment horizontal="center" vertical="center"/>
    </xf>
    <xf numFmtId="4" fontId="59" fillId="2" borderId="16" xfId="0" applyNumberFormat="1" applyFont="1" applyFill="1" applyBorder="1" applyAlignment="1">
      <alignment vertical="center"/>
    </xf>
    <xf numFmtId="164" fontId="59" fillId="2" borderId="31" xfId="11" applyNumberFormat="1" applyFont="1" applyFill="1" applyBorder="1" applyAlignment="1">
      <alignment vertical="center"/>
    </xf>
    <xf numFmtId="4" fontId="59" fillId="2" borderId="6" xfId="0" applyNumberFormat="1" applyFont="1" applyFill="1" applyBorder="1" applyAlignment="1">
      <alignment vertical="center"/>
    </xf>
    <xf numFmtId="164" fontId="59" fillId="2" borderId="6" xfId="11" applyNumberFormat="1" applyFont="1" applyFill="1" applyBorder="1" applyAlignment="1">
      <alignment vertical="center"/>
    </xf>
    <xf numFmtId="0" fontId="59" fillId="2" borderId="6" xfId="0" applyFont="1" applyFill="1" applyBorder="1" applyAlignment="1">
      <alignment vertical="center"/>
    </xf>
    <xf numFmtId="4" fontId="54" fillId="2" borderId="16" xfId="0" applyNumberFormat="1" applyFont="1" applyFill="1" applyBorder="1" applyAlignment="1">
      <alignment horizontal="right" vertical="center"/>
    </xf>
    <xf numFmtId="4" fontId="54" fillId="2" borderId="6" xfId="0" applyNumberFormat="1" applyFont="1" applyFill="1" applyBorder="1" applyAlignment="1">
      <alignment horizontal="right" vertical="center"/>
    </xf>
    <xf numFmtId="4" fontId="60" fillId="2" borderId="16" xfId="0" applyNumberFormat="1" applyFont="1" applyFill="1" applyBorder="1" applyAlignment="1">
      <alignment horizontal="right" vertical="center"/>
    </xf>
    <xf numFmtId="4" fontId="60" fillId="2" borderId="6" xfId="0" applyNumberFormat="1" applyFont="1" applyFill="1" applyBorder="1" applyAlignment="1">
      <alignment horizontal="right" vertical="center"/>
    </xf>
    <xf numFmtId="0" fontId="51" fillId="0" borderId="11" xfId="0" applyFont="1" applyBorder="1" applyAlignment="1">
      <alignment horizontal="center" vertical="center"/>
    </xf>
    <xf numFmtId="4" fontId="50" fillId="0" borderId="18" xfId="0" applyNumberFormat="1" applyFont="1" applyBorder="1" applyAlignment="1">
      <alignment vertical="center"/>
    </xf>
    <xf numFmtId="4" fontId="50" fillId="0" borderId="12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4" fontId="12" fillId="2" borderId="28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3" borderId="0" xfId="0" applyFont="1" applyFill="1"/>
    <xf numFmtId="0" fontId="11" fillId="0" borderId="0" xfId="0" applyFont="1"/>
    <xf numFmtId="0" fontId="63" fillId="4" borderId="0" xfId="0" applyFont="1" applyFill="1" applyAlignment="1">
      <alignment horizontal="left" vertical="center"/>
    </xf>
    <xf numFmtId="0" fontId="64" fillId="3" borderId="0" xfId="0" applyFont="1" applyFill="1"/>
    <xf numFmtId="4" fontId="4" fillId="2" borderId="50" xfId="0" applyNumberFormat="1" applyFont="1" applyFill="1" applyBorder="1" applyAlignment="1">
      <alignment horizontal="right" vertical="center"/>
    </xf>
    <xf numFmtId="4" fontId="4" fillId="2" borderId="38" xfId="0" applyNumberFormat="1" applyFont="1" applyFill="1" applyBorder="1" applyAlignment="1">
      <alignment horizontal="right" vertical="center"/>
    </xf>
    <xf numFmtId="4" fontId="21" fillId="2" borderId="38" xfId="0" applyNumberFormat="1" applyFont="1" applyFill="1" applyBorder="1" applyAlignment="1">
      <alignment horizontal="right" vertical="center"/>
    </xf>
    <xf numFmtId="4" fontId="5" fillId="2" borderId="38" xfId="0" applyNumberFormat="1" applyFont="1" applyFill="1" applyBorder="1" applyAlignment="1">
      <alignment horizontal="right" vertical="center"/>
    </xf>
    <xf numFmtId="4" fontId="17" fillId="2" borderId="38" xfId="0" applyNumberFormat="1" applyFont="1" applyFill="1" applyBorder="1" applyAlignment="1">
      <alignment horizontal="right" vertical="center"/>
    </xf>
    <xf numFmtId="0" fontId="64" fillId="0" borderId="0" xfId="0" applyFont="1"/>
    <xf numFmtId="0" fontId="64" fillId="0" borderId="0" xfId="0" applyFont="1" applyAlignment="1">
      <alignment vertical="center"/>
    </xf>
    <xf numFmtId="0" fontId="22" fillId="3" borderId="14" xfId="0" applyFont="1" applyFill="1" applyBorder="1" applyAlignment="1">
      <alignment vertical="center"/>
    </xf>
    <xf numFmtId="4" fontId="5" fillId="3" borderId="48" xfId="0" applyNumberFormat="1" applyFont="1" applyFill="1" applyBorder="1" applyAlignment="1">
      <alignment vertical="center"/>
    </xf>
    <xf numFmtId="0" fontId="38" fillId="2" borderId="28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4" fontId="5" fillId="3" borderId="14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38" fillId="0" borderId="28" xfId="0" applyFont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0" fillId="0" borderId="10" xfId="0" applyBorder="1"/>
    <xf numFmtId="0" fontId="26" fillId="0" borderId="0" xfId="0" applyFont="1" applyAlignment="1">
      <alignment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4" xfId="0" applyFont="1" applyBorder="1" applyAlignment="1">
      <alignment vertical="center"/>
    </xf>
    <xf numFmtId="4" fontId="34" fillId="0" borderId="14" xfId="0" applyNumberFormat="1" applyFont="1" applyBorder="1" applyAlignment="1">
      <alignment vertical="center"/>
    </xf>
    <xf numFmtId="4" fontId="24" fillId="2" borderId="28" xfId="0" applyNumberFormat="1" applyFont="1" applyFill="1" applyBorder="1" applyAlignment="1">
      <alignment vertical="center"/>
    </xf>
    <xf numFmtId="4" fontId="24" fillId="2" borderId="14" xfId="0" applyNumberFormat="1" applyFont="1" applyFill="1" applyBorder="1" applyAlignment="1">
      <alignment vertical="center"/>
    </xf>
    <xf numFmtId="4" fontId="34" fillId="2" borderId="28" xfId="0" applyNumberFormat="1" applyFont="1" applyFill="1" applyBorder="1" applyAlignment="1">
      <alignment vertical="center"/>
    </xf>
    <xf numFmtId="4" fontId="24" fillId="3" borderId="14" xfId="0" applyNumberFormat="1" applyFont="1" applyFill="1" applyBorder="1" applyAlignment="1">
      <alignment vertical="center"/>
    </xf>
    <xf numFmtId="0" fontId="65" fillId="0" borderId="0" xfId="0" applyFont="1"/>
    <xf numFmtId="0" fontId="66" fillId="0" borderId="0" xfId="0" applyFont="1"/>
    <xf numFmtId="0" fontId="63" fillId="4" borderId="0" xfId="0" applyFont="1" applyFill="1" applyAlignment="1">
      <alignment vertical="center"/>
    </xf>
    <xf numFmtId="0" fontId="67" fillId="0" borderId="0" xfId="0" applyFont="1"/>
    <xf numFmtId="0" fontId="68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4" fontId="4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horizontal="right" vertical="center"/>
    </xf>
    <xf numFmtId="4" fontId="4" fillId="2" borderId="16" xfId="0" applyNumberFormat="1" applyFont="1" applyFill="1" applyBorder="1" applyAlignment="1">
      <alignment horizontal="right" vertical="center"/>
    </xf>
    <xf numFmtId="164" fontId="4" fillId="2" borderId="16" xfId="0" applyNumberFormat="1" applyFont="1" applyFill="1" applyBorder="1" applyAlignment="1">
      <alignment horizontal="right" vertical="center"/>
    </xf>
    <xf numFmtId="4" fontId="4" fillId="3" borderId="16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0" fontId="10" fillId="3" borderId="0" xfId="0" applyFont="1" applyFill="1"/>
    <xf numFmtId="4" fontId="10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4" fontId="4" fillId="0" borderId="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Alignment="1">
      <alignment horizontal="right" vertical="center"/>
    </xf>
    <xf numFmtId="0" fontId="17" fillId="2" borderId="19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vertical="center"/>
    </xf>
    <xf numFmtId="0" fontId="69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horizontal="right" vertical="center"/>
    </xf>
    <xf numFmtId="164" fontId="0" fillId="3" borderId="0" xfId="0" applyNumberFormat="1" applyFill="1" applyAlignment="1">
      <alignment horizontal="right" vertical="center"/>
    </xf>
    <xf numFmtId="0" fontId="61" fillId="3" borderId="0" xfId="0" applyFont="1" applyFill="1" applyAlignment="1">
      <alignment horizont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70" fillId="3" borderId="0" xfId="0" applyFont="1" applyFill="1" applyAlignment="1">
      <alignment vertical="center"/>
    </xf>
    <xf numFmtId="0" fontId="70" fillId="3" borderId="0" xfId="0" applyFont="1" applyFill="1" applyAlignment="1">
      <alignment horizontal="center" vertical="center"/>
    </xf>
    <xf numFmtId="0" fontId="7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6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1" fillId="3" borderId="0" xfId="0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52" fillId="0" borderId="54" xfId="0" applyFont="1" applyBorder="1" applyAlignment="1">
      <alignment horizontal="center" vertical="center"/>
    </xf>
    <xf numFmtId="164" fontId="50" fillId="0" borderId="18" xfId="0" applyNumberFormat="1" applyFont="1" applyBorder="1" applyAlignment="1">
      <alignment horizontal="right" vertical="center"/>
    </xf>
    <xf numFmtId="164" fontId="50" fillId="0" borderId="12" xfId="0" applyNumberFormat="1" applyFont="1" applyBorder="1" applyAlignment="1">
      <alignment horizontal="right" vertical="center"/>
    </xf>
    <xf numFmtId="0" fontId="52" fillId="2" borderId="54" xfId="0" applyFont="1" applyFill="1" applyBorder="1" applyAlignment="1">
      <alignment horizontal="center" vertical="center"/>
    </xf>
    <xf numFmtId="164" fontId="54" fillId="2" borderId="18" xfId="0" applyNumberFormat="1" applyFont="1" applyFill="1" applyBorder="1" applyAlignment="1">
      <alignment horizontal="right" vertical="center"/>
    </xf>
    <xf numFmtId="164" fontId="54" fillId="2" borderId="12" xfId="0" applyNumberFormat="1" applyFont="1" applyFill="1" applyBorder="1" applyAlignment="1">
      <alignment horizontal="right" vertical="center"/>
    </xf>
    <xf numFmtId="164" fontId="62" fillId="2" borderId="12" xfId="0" applyNumberFormat="1" applyFont="1" applyFill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vertical="center"/>
    </xf>
    <xf numFmtId="164" fontId="4" fillId="2" borderId="6" xfId="11" applyNumberFormat="1" applyFont="1" applyFill="1" applyBorder="1" applyAlignment="1">
      <alignment vertical="center"/>
    </xf>
    <xf numFmtId="164" fontId="4" fillId="2" borderId="0" xfId="11" applyNumberFormat="1" applyFont="1" applyFill="1" applyBorder="1" applyAlignment="1">
      <alignment vertical="center"/>
    </xf>
    <xf numFmtId="4" fontId="4" fillId="2" borderId="52" xfId="0" applyNumberFormat="1" applyFont="1" applyFill="1" applyBorder="1" applyAlignment="1">
      <alignment horizontal="right" vertical="center"/>
    </xf>
    <xf numFmtId="4" fontId="4" fillId="2" borderId="53" xfId="0" applyNumberFormat="1" applyFont="1" applyFill="1" applyBorder="1" applyAlignment="1">
      <alignment horizontal="right" vertical="center"/>
    </xf>
    <xf numFmtId="4" fontId="4" fillId="2" borderId="53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" fontId="4" fillId="2" borderId="46" xfId="0" applyNumberFormat="1" applyFont="1" applyFill="1" applyBorder="1" applyAlignment="1">
      <alignment vertical="center"/>
    </xf>
    <xf numFmtId="164" fontId="4" fillId="2" borderId="9" xfId="11" applyNumberFormat="1" applyFont="1" applyFill="1" applyBorder="1" applyAlignment="1">
      <alignment vertical="center"/>
    </xf>
    <xf numFmtId="4" fontId="4" fillId="2" borderId="47" xfId="0" applyNumberFormat="1" applyFont="1" applyFill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17" fillId="2" borderId="59" xfId="0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right" vertical="center"/>
    </xf>
    <xf numFmtId="0" fontId="17" fillId="0" borderId="5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17" fillId="3" borderId="19" xfId="0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/>
    </xf>
    <xf numFmtId="0" fontId="68" fillId="3" borderId="0" xfId="0" applyFont="1" applyFill="1" applyAlignment="1">
      <alignment vertical="center"/>
    </xf>
    <xf numFmtId="0" fontId="68" fillId="4" borderId="0" xfId="0" applyFont="1" applyFill="1" applyAlignment="1">
      <alignment vertical="center"/>
    </xf>
    <xf numFmtId="0" fontId="52" fillId="0" borderId="30" xfId="0" applyFont="1" applyBorder="1" applyAlignment="1">
      <alignment horizontal="center" vertical="center"/>
    </xf>
    <xf numFmtId="4" fontId="59" fillId="0" borderId="16" xfId="0" applyNumberFormat="1" applyFont="1" applyBorder="1" applyAlignment="1">
      <alignment vertical="center"/>
    </xf>
    <xf numFmtId="164" fontId="59" fillId="0" borderId="31" xfId="11" applyNumberFormat="1" applyFont="1" applyFill="1" applyBorder="1" applyAlignment="1">
      <alignment vertical="center"/>
    </xf>
    <xf numFmtId="4" fontId="59" fillId="0" borderId="6" xfId="0" applyNumberFormat="1" applyFont="1" applyBorder="1" applyAlignment="1">
      <alignment vertical="center"/>
    </xf>
    <xf numFmtId="164" fontId="59" fillId="0" borderId="6" xfId="11" applyNumberFormat="1" applyFont="1" applyFill="1" applyBorder="1" applyAlignment="1">
      <alignment vertical="center"/>
    </xf>
    <xf numFmtId="0" fontId="59" fillId="0" borderId="6" xfId="0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right" vertical="center"/>
    </xf>
    <xf numFmtId="4" fontId="12" fillId="3" borderId="0" xfId="0" applyNumberFormat="1" applyFont="1" applyFill="1" applyAlignment="1">
      <alignment vertical="center"/>
    </xf>
    <xf numFmtId="4" fontId="8" fillId="0" borderId="0" xfId="0" applyNumberFormat="1" applyFont="1"/>
    <xf numFmtId="0" fontId="22" fillId="0" borderId="14" xfId="0" applyFont="1" applyBorder="1" applyAlignment="1">
      <alignment vertical="center"/>
    </xf>
    <xf numFmtId="4" fontId="21" fillId="0" borderId="6" xfId="0" applyNumberFormat="1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" fontId="24" fillId="0" borderId="32" xfId="0" applyNumberFormat="1" applyFont="1" applyBorder="1" applyAlignment="1">
      <alignment vertical="center"/>
    </xf>
    <xf numFmtId="4" fontId="24" fillId="0" borderId="6" xfId="0" applyNumberFormat="1" applyFont="1" applyBorder="1" applyAlignment="1">
      <alignment vertical="center"/>
    </xf>
    <xf numFmtId="4" fontId="48" fillId="0" borderId="0" xfId="0" applyNumberFormat="1" applyFont="1"/>
    <xf numFmtId="4" fontId="14" fillId="3" borderId="0" xfId="0" applyNumberFormat="1" applyFont="1" applyFill="1" applyAlignment="1">
      <alignment vertical="center"/>
    </xf>
    <xf numFmtId="164" fontId="50" fillId="0" borderId="16" xfId="0" applyNumberFormat="1" applyFont="1" applyBorder="1" applyAlignment="1">
      <alignment vertical="center"/>
    </xf>
    <xf numFmtId="164" fontId="50" fillId="0" borderId="6" xfId="0" applyNumberFormat="1" applyFont="1" applyBorder="1" applyAlignment="1">
      <alignment vertical="center"/>
    </xf>
    <xf numFmtId="0" fontId="5" fillId="2" borderId="60" xfId="0" applyFont="1" applyFill="1" applyBorder="1" applyAlignment="1">
      <alignment horizontal="center" vertical="center"/>
    </xf>
    <xf numFmtId="4" fontId="59" fillId="2" borderId="61" xfId="0" applyNumberFormat="1" applyFont="1" applyFill="1" applyBorder="1" applyAlignment="1">
      <alignment vertical="center"/>
    </xf>
    <xf numFmtId="4" fontId="59" fillId="2" borderId="62" xfId="0" applyNumberFormat="1" applyFont="1" applyFill="1" applyBorder="1" applyAlignment="1">
      <alignment vertical="center"/>
    </xf>
    <xf numFmtId="0" fontId="59" fillId="2" borderId="62" xfId="0" applyFont="1" applyFill="1" applyBorder="1" applyAlignment="1">
      <alignment vertical="center"/>
    </xf>
    <xf numFmtId="4" fontId="5" fillId="2" borderId="0" xfId="0" applyNumberFormat="1" applyFont="1" applyFill="1" applyAlignment="1">
      <alignment horizontal="center" vertical="center"/>
    </xf>
    <xf numFmtId="4" fontId="37" fillId="2" borderId="6" xfId="0" applyNumberFormat="1" applyFont="1" applyFill="1" applyBorder="1" applyAlignment="1">
      <alignment vertical="center"/>
    </xf>
    <xf numFmtId="0" fontId="38" fillId="2" borderId="0" xfId="0" applyFont="1" applyFill="1" applyAlignment="1">
      <alignment horizontal="center" vertical="center"/>
    </xf>
    <xf numFmtId="0" fontId="38" fillId="2" borderId="14" xfId="0" applyFont="1" applyFill="1" applyBorder="1" applyAlignment="1">
      <alignment vertical="center"/>
    </xf>
    <xf numFmtId="4" fontId="38" fillId="2" borderId="6" xfId="0" applyNumberFormat="1" applyFont="1" applyFill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4" fontId="35" fillId="2" borderId="5" xfId="0" applyNumberFormat="1" applyFont="1" applyFill="1" applyBorder="1" applyAlignment="1">
      <alignment vertical="center"/>
    </xf>
    <xf numFmtId="4" fontId="4" fillId="2" borderId="63" xfId="0" applyNumberFormat="1" applyFont="1" applyFill="1" applyBorder="1" applyAlignment="1">
      <alignment horizontal="center" vertical="center"/>
    </xf>
    <xf numFmtId="4" fontId="4" fillId="0" borderId="63" xfId="0" applyNumberFormat="1" applyFont="1" applyBorder="1" applyAlignment="1">
      <alignment horizontal="center" vertical="center"/>
    </xf>
    <xf numFmtId="0" fontId="50" fillId="0" borderId="64" xfId="0" applyFont="1" applyBorder="1" applyAlignment="1">
      <alignment horizontal="center" vertical="center"/>
    </xf>
    <xf numFmtId="0" fontId="53" fillId="0" borderId="65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0" fillId="0" borderId="67" xfId="0" applyFont="1" applyBorder="1" applyAlignment="1">
      <alignment horizontal="center" vertical="center"/>
    </xf>
    <xf numFmtId="4" fontId="65" fillId="0" borderId="0" xfId="0" applyNumberFormat="1" applyFont="1"/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textRotation="90"/>
    </xf>
    <xf numFmtId="4" fontId="0" fillId="4" borderId="0" xfId="0" applyNumberFormat="1" applyFill="1"/>
    <xf numFmtId="4" fontId="0" fillId="3" borderId="0" xfId="0" applyNumberForma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horizontal="center" textRotation="90"/>
    </xf>
    <xf numFmtId="4" fontId="0" fillId="3" borderId="0" xfId="0" applyNumberFormat="1" applyFill="1"/>
    <xf numFmtId="0" fontId="52" fillId="0" borderId="64" xfId="0" applyFont="1" applyBorder="1" applyAlignment="1">
      <alignment horizontal="center" vertical="center"/>
    </xf>
    <xf numFmtId="164" fontId="50" fillId="0" borderId="65" xfId="0" applyNumberFormat="1" applyFont="1" applyBorder="1" applyAlignment="1">
      <alignment vertical="center"/>
    </xf>
    <xf numFmtId="164" fontId="50" fillId="0" borderId="66" xfId="0" applyNumberFormat="1" applyFont="1" applyBorder="1" applyAlignment="1">
      <alignment vertical="center"/>
    </xf>
    <xf numFmtId="164" fontId="59" fillId="0" borderId="68" xfId="11" applyNumberFormat="1" applyFont="1" applyFill="1" applyBorder="1" applyAlignment="1">
      <alignment vertical="center"/>
    </xf>
    <xf numFmtId="164" fontId="59" fillId="0" borderId="69" xfId="11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" fontId="16" fillId="0" borderId="0" xfId="0" applyNumberFormat="1" applyFont="1"/>
    <xf numFmtId="0" fontId="52" fillId="0" borderId="70" xfId="0" applyFont="1" applyBorder="1" applyAlignment="1">
      <alignment horizontal="center" vertical="center"/>
    </xf>
    <xf numFmtId="164" fontId="59" fillId="0" borderId="71" xfId="11" applyNumberFormat="1" applyFont="1" applyFill="1" applyBorder="1" applyAlignment="1">
      <alignment vertical="center"/>
    </xf>
    <xf numFmtId="164" fontId="59" fillId="0" borderId="44" xfId="11" applyNumberFormat="1" applyFont="1" applyFill="1" applyBorder="1" applyAlignment="1">
      <alignment vertical="center"/>
    </xf>
    <xf numFmtId="0" fontId="52" fillId="0" borderId="43" xfId="0" applyFont="1" applyBorder="1" applyAlignment="1">
      <alignment horizontal="center" vertical="center"/>
    </xf>
    <xf numFmtId="164" fontId="50" fillId="0" borderId="72" xfId="0" applyNumberFormat="1" applyFont="1" applyBorder="1" applyAlignment="1">
      <alignment vertical="center"/>
    </xf>
    <xf numFmtId="164" fontId="50" fillId="0" borderId="44" xfId="0" applyNumberFormat="1" applyFont="1" applyBorder="1" applyAlignment="1">
      <alignment vertical="center"/>
    </xf>
    <xf numFmtId="2" fontId="4" fillId="2" borderId="12" xfId="0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left" vertical="center" wrapText="1"/>
    </xf>
    <xf numFmtId="0" fontId="63" fillId="4" borderId="0" xfId="0" applyFont="1" applyFill="1" applyAlignment="1">
      <alignment horizontal="left" vertical="center"/>
    </xf>
    <xf numFmtId="0" fontId="64" fillId="0" borderId="0" xfId="0" applyFont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textRotation="90"/>
    </xf>
    <xf numFmtId="0" fontId="64" fillId="0" borderId="0" xfId="0" applyFont="1" applyAlignment="1">
      <alignment horizontal="center"/>
    </xf>
  </cellXfs>
  <cellStyles count="12">
    <cellStyle name="Dziesiętny 2" xfId="4" xr:uid="{00000000-0005-0000-0000-000000000000}"/>
    <cellStyle name="Excel Built-in Normal" xfId="5" xr:uid="{00000000-0005-0000-0000-000001000000}"/>
    <cellStyle name="Normalny" xfId="0" builtinId="0"/>
    <cellStyle name="Normalny 2" xfId="6" xr:uid="{00000000-0005-0000-0000-000003000000}"/>
    <cellStyle name="Normalny 3" xfId="1" xr:uid="{00000000-0005-0000-0000-000004000000}"/>
    <cellStyle name="Normalny 4" xfId="9" xr:uid="{00000000-0005-0000-0000-000005000000}"/>
    <cellStyle name="Normalny 5" xfId="7" xr:uid="{00000000-0005-0000-0000-000006000000}"/>
    <cellStyle name="Normalny 6" xfId="3" xr:uid="{00000000-0005-0000-0000-000007000000}"/>
    <cellStyle name="Procentowy" xfId="11" builtinId="5"/>
    <cellStyle name="Procentowy 2" xfId="8" xr:uid="{00000000-0005-0000-0000-000009000000}"/>
    <cellStyle name="Procentowy 3" xfId="10" xr:uid="{00000000-0005-0000-0000-00000A000000}"/>
    <cellStyle name="TableStyleLight1" xfId="2" xr:uid="{00000000-0005-0000-0000-00000B000000}"/>
  </cellStyles>
  <dxfs count="0"/>
  <tableStyles count="0" defaultTableStyle="TableStyleMedium2" defaultPivotStyle="PivotStyleMedium9"/>
  <colors>
    <mruColors>
      <color rgb="FFBA203C"/>
      <color rgb="FFA50021"/>
      <color rgb="FFFBE9EC"/>
      <color rgb="FFFEF8F9"/>
      <color rgb="FFF9DBE1"/>
      <color rgb="FFF5C3CD"/>
      <color rgb="FFFDE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book%20LUBAWA%20S.A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YBRANE DANE"/>
      <sheetName val="BILANS"/>
      <sheetName val="RZIS"/>
      <sheetName val="PP"/>
      <sheetName val="ZZWKW"/>
      <sheetName val="WSKAŹNIKI"/>
    </sheetNames>
    <sheetDataSet>
      <sheetData sheetId="0">
        <row r="4">
          <cell r="AB4" t="str">
            <v>IQ</v>
          </cell>
        </row>
      </sheetData>
      <sheetData sheetId="1">
        <row r="17">
          <cell r="B17">
            <v>167417833.25000003</v>
          </cell>
          <cell r="E17">
            <v>166455724.99000001</v>
          </cell>
          <cell r="F17">
            <v>166260038.49000001</v>
          </cell>
          <cell r="G17">
            <v>166278010.72000003</v>
          </cell>
          <cell r="H17">
            <v>166249753.94</v>
          </cell>
          <cell r="I17">
            <v>165578954.44</v>
          </cell>
          <cell r="J17">
            <v>165158969.16</v>
          </cell>
        </row>
        <row r="29">
          <cell r="B29">
            <v>28880170.779999997</v>
          </cell>
          <cell r="E29">
            <v>34469099.359999999</v>
          </cell>
          <cell r="F29">
            <v>35385189.18</v>
          </cell>
          <cell r="G29">
            <v>32016868.389999997</v>
          </cell>
          <cell r="H29">
            <v>26480103.630000003</v>
          </cell>
          <cell r="I29">
            <v>32622926.669999998</v>
          </cell>
          <cell r="J29">
            <v>22264705.620000001</v>
          </cell>
        </row>
        <row r="30">
          <cell r="B30">
            <v>196298004.03000003</v>
          </cell>
          <cell r="E30">
            <v>200924824.35000002</v>
          </cell>
          <cell r="F30">
            <v>201645227.67000002</v>
          </cell>
          <cell r="G30">
            <v>198294879.11000001</v>
          </cell>
          <cell r="H30">
            <v>192729857.56999999</v>
          </cell>
          <cell r="I30">
            <v>198201881.10999998</v>
          </cell>
          <cell r="J30">
            <v>187423674.78</v>
          </cell>
        </row>
        <row r="37">
          <cell r="B37">
            <v>169691767.73000002</v>
          </cell>
          <cell r="E37">
            <v>170169923.13000003</v>
          </cell>
          <cell r="F37">
            <v>171462273.91999999</v>
          </cell>
          <cell r="G37">
            <v>169269022.12</v>
          </cell>
          <cell r="H37">
            <v>170068820.79000002</v>
          </cell>
          <cell r="I37">
            <v>166817904.52000001</v>
          </cell>
          <cell r="J37">
            <v>165402476.00999999</v>
          </cell>
        </row>
        <row r="45">
          <cell r="B45">
            <v>5358811.24</v>
          </cell>
          <cell r="E45">
            <v>6544728.2999999998</v>
          </cell>
          <cell r="F45">
            <v>6543412.6799999997</v>
          </cell>
          <cell r="G45">
            <v>6501854.71</v>
          </cell>
          <cell r="H45">
            <v>7008926.7000000002</v>
          </cell>
          <cell r="I45">
            <v>7260359.6299999999</v>
          </cell>
          <cell r="J45">
            <v>7327103.8300000001</v>
          </cell>
        </row>
        <row r="55">
          <cell r="B55">
            <v>21247425.060000002</v>
          </cell>
          <cell r="E55">
            <v>24210172.920000002</v>
          </cell>
          <cell r="F55">
            <v>23639541.07</v>
          </cell>
          <cell r="G55">
            <v>22524002.279999997</v>
          </cell>
          <cell r="H55">
            <v>15652110.08</v>
          </cell>
          <cell r="I55">
            <v>24123616.960000001</v>
          </cell>
          <cell r="J55">
            <v>14694094.939999999</v>
          </cell>
        </row>
      </sheetData>
      <sheetData sheetId="2">
        <row r="6">
          <cell r="B6">
            <v>10349523.560000001</v>
          </cell>
          <cell r="E6">
            <v>33857548.329999998</v>
          </cell>
          <cell r="G6">
            <v>8320276.1500000004</v>
          </cell>
          <cell r="H6">
            <v>52280493.030000001</v>
          </cell>
          <cell r="I6">
            <v>26302900.109999999</v>
          </cell>
          <cell r="J6">
            <v>17827753.559999999</v>
          </cell>
          <cell r="AD6">
            <v>25977592.920000002</v>
          </cell>
        </row>
        <row r="8">
          <cell r="E8">
            <v>8175559.3899999969</v>
          </cell>
          <cell r="G8">
            <v>1933922</v>
          </cell>
          <cell r="H8">
            <v>11128411.859999999</v>
          </cell>
          <cell r="I8">
            <v>4416049.1400000006</v>
          </cell>
          <cell r="J8">
            <v>1576783.7</v>
          </cell>
          <cell r="AD8">
            <v>6712362.7199999988</v>
          </cell>
        </row>
        <row r="11">
          <cell r="B11">
            <v>-3214069.9399999995</v>
          </cell>
          <cell r="E11">
            <v>1772165.1599999964</v>
          </cell>
          <cell r="G11">
            <v>194859.65000000002</v>
          </cell>
          <cell r="H11">
            <v>3362367.15</v>
          </cell>
          <cell r="I11">
            <v>-866552.29999999935</v>
          </cell>
          <cell r="J11">
            <v>-1716708.19</v>
          </cell>
          <cell r="AD11">
            <v>4228919.4499999993</v>
          </cell>
        </row>
        <row r="14">
          <cell r="B14">
            <v>-4329850.26</v>
          </cell>
          <cell r="E14">
            <v>1415552.6699999964</v>
          </cell>
          <cell r="F14">
            <v>2936231.649999998</v>
          </cell>
          <cell r="G14">
            <v>45029.130000000034</v>
          </cell>
          <cell r="H14">
            <v>3824578.2299999995</v>
          </cell>
          <cell r="I14">
            <v>-653828.57999999938</v>
          </cell>
          <cell r="J14">
            <v>-1520029.08</v>
          </cell>
          <cell r="AD14">
            <v>4478406.8099999987</v>
          </cell>
        </row>
        <row r="17">
          <cell r="B17">
            <v>-4218270.6399999997</v>
          </cell>
          <cell r="E17">
            <v>1071710.0099999965</v>
          </cell>
          <cell r="F17">
            <v>2595582.2099999981</v>
          </cell>
          <cell r="G17">
            <v>-111553.72999999998</v>
          </cell>
          <cell r="H17">
            <v>3834694.3799999994</v>
          </cell>
          <cell r="I17">
            <v>-567265.01999999932</v>
          </cell>
          <cell r="J17">
            <v>-1490113.67</v>
          </cell>
          <cell r="AD17">
            <v>4401959.3999999994</v>
          </cell>
        </row>
        <row r="20">
          <cell r="B20">
            <v>-3394527.6399999997</v>
          </cell>
          <cell r="E20">
            <v>833562.00999999652</v>
          </cell>
          <cell r="F20">
            <v>2087920.2099999981</v>
          </cell>
          <cell r="G20">
            <v>-134357.72999999998</v>
          </cell>
          <cell r="H20">
            <v>2877751.3799999994</v>
          </cell>
          <cell r="I20">
            <v>-396419.01999999932</v>
          </cell>
          <cell r="J20">
            <v>-1420329.67</v>
          </cell>
          <cell r="AD20">
            <v>3274170.3999999994</v>
          </cell>
        </row>
      </sheetData>
      <sheetData sheetId="3">
        <row r="9">
          <cell r="E9">
            <v>1194821.4199999995</v>
          </cell>
          <cell r="F9">
            <v>793542.95</v>
          </cell>
          <cell r="G9">
            <v>395131.63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O75"/>
  <sheetViews>
    <sheetView showGridLines="0" tabSelected="1" zoomScale="60" zoomScaleNormal="60" zoomScaleSheetLayoutView="40" zoomScalePageLayoutView="60" workbookViewId="0">
      <pane ySplit="1" topLeftCell="A44" activePane="bottomLeft" state="frozen"/>
      <selection activeCell="A35" sqref="A35"/>
      <selection pane="bottomLeft" activeCell="C63" sqref="C63"/>
    </sheetView>
  </sheetViews>
  <sheetFormatPr defaultColWidth="8.88671875" defaultRowHeight="14.4"/>
  <cols>
    <col min="1" max="1" width="61.88671875" style="269" customWidth="1"/>
    <col min="2" max="2" width="21.6640625" style="269" customWidth="1"/>
    <col min="3" max="3" width="19.109375" style="269" bestFit="1" customWidth="1"/>
    <col min="4" max="4" width="21.6640625" style="269" customWidth="1"/>
    <col min="5" max="5" width="16.5546875" style="269" customWidth="1"/>
    <col min="6" max="6" width="21.6640625" style="269" customWidth="1"/>
    <col min="7" max="7" width="17.6640625" style="269" customWidth="1"/>
    <col min="8" max="8" width="21.6640625" style="269" customWidth="1"/>
    <col min="9" max="9" width="12.6640625" style="269" customWidth="1"/>
    <col min="10" max="10" width="21.6640625" style="269" customWidth="1"/>
    <col min="11" max="11" width="19.44140625" style="269" customWidth="1"/>
    <col min="12" max="12" width="21.6640625" style="269" customWidth="1"/>
    <col min="13" max="13" width="12.6640625" style="269" customWidth="1"/>
    <col min="14" max="14" width="21.6640625" style="269" customWidth="1"/>
    <col min="15" max="15" width="13.109375" style="269" customWidth="1"/>
    <col min="16" max="16" width="21.6640625" style="269" customWidth="1"/>
    <col min="17" max="17" width="13.5546875" style="269" customWidth="1"/>
    <col min="18" max="18" width="21.6640625" style="269" customWidth="1"/>
    <col min="19" max="19" width="10.33203125" style="269" customWidth="1"/>
    <col min="20" max="20" width="21.6640625" style="269" customWidth="1"/>
    <col min="21" max="21" width="12.109375" style="269" customWidth="1"/>
    <col min="22" max="22" width="21.6640625" style="269" customWidth="1"/>
    <col min="23" max="23" width="12.88671875" style="269" customWidth="1"/>
    <col min="24" max="24" width="21.6640625" style="269" customWidth="1"/>
    <col min="25" max="25" width="13.44140625" style="269" customWidth="1"/>
    <col min="26" max="29" width="21.6640625" style="269" customWidth="1"/>
    <col min="30" max="16384" width="8.88671875" style="269"/>
  </cols>
  <sheetData>
    <row r="1" spans="1:40" ht="50.1" customHeight="1">
      <c r="A1" s="526" t="s">
        <v>151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</row>
    <row r="2" spans="1:40" ht="27.9" customHeight="1"/>
    <row r="3" spans="1:40" ht="31.2">
      <c r="A3" s="525" t="s">
        <v>138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270"/>
    </row>
    <row r="4" spans="1:40" ht="27.9" customHeight="1">
      <c r="A4" s="271"/>
      <c r="B4" s="272">
        <v>2024</v>
      </c>
      <c r="C4" s="426" t="s">
        <v>113</v>
      </c>
      <c r="D4" s="273">
        <v>2023</v>
      </c>
      <c r="E4" s="423" t="s">
        <v>113</v>
      </c>
      <c r="F4" s="272">
        <v>2022</v>
      </c>
      <c r="G4" s="426" t="s">
        <v>113</v>
      </c>
      <c r="H4" s="273">
        <v>2021</v>
      </c>
      <c r="I4" s="423" t="s">
        <v>113</v>
      </c>
      <c r="J4" s="272">
        <v>2020</v>
      </c>
      <c r="K4" s="426" t="s">
        <v>113</v>
      </c>
      <c r="L4" s="273">
        <v>2019</v>
      </c>
      <c r="M4" s="423" t="s">
        <v>113</v>
      </c>
      <c r="N4" s="272">
        <v>2018</v>
      </c>
      <c r="O4" s="426" t="s">
        <v>113</v>
      </c>
      <c r="P4" s="273">
        <v>2017</v>
      </c>
      <c r="Q4" s="423" t="s">
        <v>113</v>
      </c>
      <c r="R4" s="272">
        <v>2016</v>
      </c>
      <c r="S4" s="426" t="s">
        <v>113</v>
      </c>
      <c r="T4" s="273">
        <v>2015</v>
      </c>
      <c r="U4" s="423" t="s">
        <v>113</v>
      </c>
      <c r="V4" s="274">
        <v>2014</v>
      </c>
      <c r="W4" s="426" t="s">
        <v>113</v>
      </c>
      <c r="X4" s="273">
        <v>2013</v>
      </c>
      <c r="Y4" s="423" t="s">
        <v>113</v>
      </c>
      <c r="Z4" s="274">
        <v>2012</v>
      </c>
      <c r="AC4" s="275"/>
      <c r="AE4" s="275"/>
      <c r="AF4" s="275"/>
      <c r="AG4" s="275"/>
      <c r="AH4" s="275"/>
      <c r="AI4" s="275"/>
    </row>
    <row r="5" spans="1:40" ht="27.9" customHeight="1">
      <c r="A5" s="276" t="s">
        <v>2</v>
      </c>
      <c r="B5" s="277">
        <f>'RZIS '!D6</f>
        <v>510226718.13999999</v>
      </c>
      <c r="C5" s="427">
        <f>(B5/D5)-1</f>
        <v>0.35118906142394524</v>
      </c>
      <c r="D5" s="278">
        <f>'RZIS '!H6</f>
        <v>377613120.70000005</v>
      </c>
      <c r="E5" s="424">
        <f>(D5/F5)-1</f>
        <v>0.13737122507096622</v>
      </c>
      <c r="F5" s="277">
        <f>'RZIS '!L6</f>
        <v>332005164.51999998</v>
      </c>
      <c r="G5" s="427">
        <f t="shared" ref="G5:G12" si="0">(F5/H5)-1</f>
        <v>0.25080392710059929</v>
      </c>
      <c r="H5" s="278">
        <f>'RZIS '!P6</f>
        <v>265433420.31999999</v>
      </c>
      <c r="I5" s="424">
        <f t="shared" ref="I5:I12" si="1">(H5/J5)-1</f>
        <v>0.11676809041328418</v>
      </c>
      <c r="J5" s="277">
        <f>'RZIS '!T6</f>
        <v>237679982.62</v>
      </c>
      <c r="K5" s="427">
        <f t="shared" ref="K5:K12" si="2">(J5/L5)-1</f>
        <v>-7.9197834698744862E-2</v>
      </c>
      <c r="L5" s="278">
        <f>'RZIS '!X6</f>
        <v>258122745.12</v>
      </c>
      <c r="M5" s="424">
        <f t="shared" ref="M5:M12" si="3">(L5/N5)-1</f>
        <v>7.7528940301836879E-2</v>
      </c>
      <c r="N5" s="277">
        <f>'RZIS '!AB6</f>
        <v>239550638.00671077</v>
      </c>
      <c r="O5" s="427">
        <f t="shared" ref="O5:O12" si="4">(N5/P5)-1</f>
        <v>3.7907813773723431E-2</v>
      </c>
      <c r="P5" s="278">
        <f>'RZIS '!AF6</f>
        <v>230801459.26999998</v>
      </c>
      <c r="Q5" s="424">
        <f>(P5/R5)-1</f>
        <v>-0.1575872588176207</v>
      </c>
      <c r="R5" s="277">
        <v>273976695.73000002</v>
      </c>
      <c r="S5" s="427">
        <f>(R5/T5)-1</f>
        <v>0.14037909140237925</v>
      </c>
      <c r="T5" s="278">
        <v>240250542.81999999</v>
      </c>
      <c r="U5" s="424">
        <f>(T5/V5)-1</f>
        <v>1.7438855078962368E-2</v>
      </c>
      <c r="V5" s="317">
        <v>236132659.59</v>
      </c>
      <c r="W5" s="427">
        <f>(V5/X5)-1</f>
        <v>0.12017111037167005</v>
      </c>
      <c r="X5" s="278">
        <v>210800526.28</v>
      </c>
      <c r="Y5" s="424">
        <f>(X5/Z5)-1</f>
        <v>0.10896032587603721</v>
      </c>
      <c r="Z5" s="279">
        <v>190088429.09999999</v>
      </c>
      <c r="AC5" s="280"/>
      <c r="AE5" s="281"/>
      <c r="AF5" s="282"/>
      <c r="AG5" s="282"/>
      <c r="AH5" s="282"/>
      <c r="AI5" s="282"/>
    </row>
    <row r="6" spans="1:40" ht="27.9" customHeight="1">
      <c r="A6" s="283" t="s">
        <v>3</v>
      </c>
      <c r="B6" s="284">
        <f>'RZIS '!D8</f>
        <v>204913948.63738382</v>
      </c>
      <c r="C6" s="428">
        <f t="shared" ref="C6:C12" si="5">(B6/D6)-1</f>
        <v>0.74718872127124358</v>
      </c>
      <c r="D6" s="285">
        <f>'RZIS '!H8</f>
        <v>117282092.16477183</v>
      </c>
      <c r="E6" s="425">
        <f t="shared" ref="E6:E12" si="6">(D6/F6)-1</f>
        <v>0.2586943803269337</v>
      </c>
      <c r="F6" s="284">
        <f>'RZIS '!L8</f>
        <v>93177576.699999988</v>
      </c>
      <c r="G6" s="428">
        <f t="shared" si="0"/>
        <v>0.18471713737573414</v>
      </c>
      <c r="H6" s="285">
        <f>'RZIS '!P8</f>
        <v>78649640.289999992</v>
      </c>
      <c r="I6" s="425">
        <f t="shared" si="1"/>
        <v>-7.504299361501765E-3</v>
      </c>
      <c r="J6" s="284">
        <f>'RZIS '!T8</f>
        <v>79244313.340000004</v>
      </c>
      <c r="K6" s="428">
        <f t="shared" si="2"/>
        <v>0.2221521202694523</v>
      </c>
      <c r="L6" s="285">
        <f>'RZIS '!X8</f>
        <v>64839975.340000004</v>
      </c>
      <c r="M6" s="425">
        <f t="shared" si="3"/>
        <v>0.37530160084181419</v>
      </c>
      <c r="N6" s="284">
        <f>'RZIS '!AB8</f>
        <v>47146004.411186486</v>
      </c>
      <c r="O6" s="428">
        <f t="shared" si="4"/>
        <v>-6.5009236480235599E-2</v>
      </c>
      <c r="P6" s="285">
        <f>'RZIS '!AF8</f>
        <v>50424032.247875661</v>
      </c>
      <c r="Q6" s="425">
        <f t="shared" ref="Q6:Q12" si="7">(P6/R6)-1</f>
        <v>-0.18695540559205115</v>
      </c>
      <c r="R6" s="284">
        <v>62018778.053120136</v>
      </c>
      <c r="S6" s="428">
        <f t="shared" ref="S6:S19" si="8">(R6/T6)-1</f>
        <v>0.75342662801125981</v>
      </c>
      <c r="T6" s="285">
        <v>35370044.609999999</v>
      </c>
      <c r="U6" s="425">
        <f t="shared" ref="U6:U12" si="9">(T6/V6)-1</f>
        <v>-0.29004421704418781</v>
      </c>
      <c r="V6" s="318">
        <v>49820066.909999996</v>
      </c>
      <c r="W6" s="428">
        <f t="shared" ref="W6:W19" si="10">(V6/X6)-1</f>
        <v>0.2334853468283975</v>
      </c>
      <c r="X6" s="285">
        <v>40389670.649999999</v>
      </c>
      <c r="Y6" s="425">
        <f t="shared" ref="Y6:Y19" si="11">(X6/Z6)-1</f>
        <v>2.1608784102219225E-2</v>
      </c>
      <c r="Z6" s="286">
        <v>39535359.600000001</v>
      </c>
      <c r="AC6" s="280"/>
      <c r="AE6" s="281"/>
      <c r="AF6" s="287"/>
      <c r="AG6" s="282"/>
      <c r="AH6" s="282"/>
      <c r="AI6" s="282"/>
    </row>
    <row r="7" spans="1:40" ht="27.9" customHeight="1">
      <c r="A7" s="283" t="s">
        <v>4</v>
      </c>
      <c r="B7" s="284">
        <f>'RZIS '!D11</f>
        <v>120986221.9973838</v>
      </c>
      <c r="C7" s="429">
        <f t="shared" si="5"/>
        <v>1.1633533843764798</v>
      </c>
      <c r="D7" s="285">
        <f>'RZIS '!H11</f>
        <v>55925316.164771833</v>
      </c>
      <c r="E7" s="425">
        <f t="shared" si="6"/>
        <v>0.69290886130087248</v>
      </c>
      <c r="F7" s="284">
        <f>'RZIS '!L11</f>
        <v>33035042.489999995</v>
      </c>
      <c r="G7" s="429">
        <f t="shared" si="0"/>
        <v>0.13015527555744222</v>
      </c>
      <c r="H7" s="285">
        <f>'RZIS '!P11</f>
        <v>29230534.249999993</v>
      </c>
      <c r="I7" s="425">
        <f t="shared" si="1"/>
        <v>-0.24349682756371227</v>
      </c>
      <c r="J7" s="284">
        <f>'RZIS '!T11</f>
        <v>38639010.800000012</v>
      </c>
      <c r="K7" s="429">
        <f t="shared" si="2"/>
        <v>0.68450483870729917</v>
      </c>
      <c r="L7" s="285">
        <f>'RZIS '!X11</f>
        <v>22937904.309999999</v>
      </c>
      <c r="M7" s="425">
        <f t="shared" si="3"/>
        <v>1.2757930444459378</v>
      </c>
      <c r="N7" s="284">
        <f>'RZIS '!AB11</f>
        <v>10079081.824236982</v>
      </c>
      <c r="O7" s="429">
        <f t="shared" si="4"/>
        <v>0.1571017101946206</v>
      </c>
      <c r="P7" s="285">
        <f>'RZIS '!AF11</f>
        <v>8710627.3678756505</v>
      </c>
      <c r="Q7" s="425">
        <f t="shared" si="7"/>
        <v>-0.60854278624962554</v>
      </c>
      <c r="R7" s="284">
        <v>22251799.333120141</v>
      </c>
      <c r="S7" s="429" t="s">
        <v>194</v>
      </c>
      <c r="T7" s="285">
        <v>-89300.67</v>
      </c>
      <c r="U7" s="425">
        <f t="shared" si="9"/>
        <v>-1.005974464402116</v>
      </c>
      <c r="V7" s="318">
        <v>14947058.68</v>
      </c>
      <c r="W7" s="428">
        <f t="shared" si="10"/>
        <v>0.68783550179256925</v>
      </c>
      <c r="X7" s="285">
        <v>8855755.5899999999</v>
      </c>
      <c r="Y7" s="425">
        <f t="shared" si="11"/>
        <v>0.12878904541077696</v>
      </c>
      <c r="Z7" s="286">
        <v>7845359.2599999998</v>
      </c>
      <c r="AC7" s="280"/>
      <c r="AE7" s="281"/>
      <c r="AF7" s="282"/>
      <c r="AG7" s="282"/>
      <c r="AH7" s="282"/>
      <c r="AI7" s="282"/>
    </row>
    <row r="8" spans="1:40" ht="27.9" customHeight="1">
      <c r="A8" s="283" t="s">
        <v>135</v>
      </c>
      <c r="B8" s="284">
        <f>'RZIS '!D14</f>
        <v>116033150.93991117</v>
      </c>
      <c r="C8" s="428">
        <f t="shared" si="5"/>
        <v>1.1832762272985771</v>
      </c>
      <c r="D8" s="285">
        <f>'RZIS '!H14</f>
        <v>53146344.694771826</v>
      </c>
      <c r="E8" s="425">
        <f t="shared" si="6"/>
        <v>0.83753679601203213</v>
      </c>
      <c r="F8" s="284">
        <f>'RZIS '!L14</f>
        <v>28922601.609999992</v>
      </c>
      <c r="G8" s="428">
        <f t="shared" si="0"/>
        <v>-4.8760570062807984E-2</v>
      </c>
      <c r="H8" s="285">
        <f>'RZIS '!P14</f>
        <v>30405175.289999995</v>
      </c>
      <c r="I8" s="425">
        <f t="shared" si="1"/>
        <v>-0.27241820484135182</v>
      </c>
      <c r="J8" s="284">
        <f>'RZIS '!T14</f>
        <v>41789356.870000012</v>
      </c>
      <c r="K8" s="428">
        <f t="shared" si="2"/>
        <v>0.82901373921906685</v>
      </c>
      <c r="L8" s="285">
        <f>'RZIS '!X14</f>
        <v>22848027.859999999</v>
      </c>
      <c r="M8" s="425">
        <f t="shared" si="3"/>
        <v>0.73912175020659121</v>
      </c>
      <c r="N8" s="284">
        <f>'RZIS '!AB14</f>
        <v>13137681.624236986</v>
      </c>
      <c r="O8" s="428">
        <f t="shared" si="4"/>
        <v>1.3556084820501191</v>
      </c>
      <c r="P8" s="285">
        <f>'RZIS '!AF14</f>
        <v>5577192.3578756507</v>
      </c>
      <c r="Q8" s="425">
        <f t="shared" si="7"/>
        <v>-0.7075448284983854</v>
      </c>
      <c r="R8" s="284">
        <v>19070247.003120139</v>
      </c>
      <c r="S8" s="428">
        <f t="shared" si="8"/>
        <v>2.0332008614389041</v>
      </c>
      <c r="T8" s="285">
        <v>6287169.1900000004</v>
      </c>
      <c r="U8" s="425">
        <f t="shared" si="9"/>
        <v>-0.62674573511336762</v>
      </c>
      <c r="V8" s="318">
        <v>16844199.199999999</v>
      </c>
      <c r="W8" s="428">
        <f t="shared" si="10"/>
        <v>0.95018128401756297</v>
      </c>
      <c r="X8" s="285">
        <v>8637247.9000000004</v>
      </c>
      <c r="Y8" s="425">
        <f t="shared" si="11"/>
        <v>-0.19933473291018722</v>
      </c>
      <c r="Z8" s="286">
        <v>10787589.09</v>
      </c>
      <c r="AC8" s="280"/>
      <c r="AE8" s="281"/>
      <c r="AF8" s="282"/>
      <c r="AG8" s="282"/>
      <c r="AH8" s="282"/>
      <c r="AI8" s="282"/>
    </row>
    <row r="9" spans="1:40" ht="27.9" customHeight="1">
      <c r="A9" s="283" t="s">
        <v>5</v>
      </c>
      <c r="B9" s="284">
        <v>14361604.459999999</v>
      </c>
      <c r="C9" s="428">
        <f t="shared" si="5"/>
        <v>6.777551449528163E-2</v>
      </c>
      <c r="D9" s="285">
        <v>13450022.279999999</v>
      </c>
      <c r="E9" s="425">
        <f t="shared" si="6"/>
        <v>-1.0732138830532367E-2</v>
      </c>
      <c r="F9" s="284">
        <v>13595935.749999998</v>
      </c>
      <c r="G9" s="428">
        <f t="shared" si="0"/>
        <v>3.5238335544649058E-2</v>
      </c>
      <c r="H9" s="285">
        <v>13133145.560000001</v>
      </c>
      <c r="I9" s="425">
        <f t="shared" si="1"/>
        <v>6.5371220987112899E-2</v>
      </c>
      <c r="J9" s="284">
        <v>12327295.219999999</v>
      </c>
      <c r="K9" s="428">
        <f t="shared" si="2"/>
        <v>-1.5032724791945062E-2</v>
      </c>
      <c r="L9" s="285">
        <v>12515436.33</v>
      </c>
      <c r="M9" s="425">
        <f t="shared" si="3"/>
        <v>-2.4253930531063839E-2</v>
      </c>
      <c r="N9" s="284">
        <v>12826530.1</v>
      </c>
      <c r="O9" s="428">
        <f t="shared" si="4"/>
        <v>6.1269913467117965E-2</v>
      </c>
      <c r="P9" s="285">
        <v>12086020.66</v>
      </c>
      <c r="Q9" s="425">
        <f t="shared" si="7"/>
        <v>8.6995324924382222E-2</v>
      </c>
      <c r="R9" s="284">
        <v>11118742.079999998</v>
      </c>
      <c r="S9" s="428">
        <f t="shared" si="8"/>
        <v>0.1778852845647072</v>
      </c>
      <c r="T9" s="285">
        <v>9439579.75</v>
      </c>
      <c r="U9" s="425">
        <f t="shared" si="9"/>
        <v>0.11702433597327877</v>
      </c>
      <c r="V9" s="318">
        <v>8450648.25</v>
      </c>
      <c r="W9" s="428">
        <f t="shared" si="10"/>
        <v>0.12081939098415262</v>
      </c>
      <c r="X9" s="285">
        <v>7539705.6100000003</v>
      </c>
      <c r="Y9" s="425">
        <f t="shared" si="11"/>
        <v>2.728516527845426E-2</v>
      </c>
      <c r="Z9" s="286">
        <v>7339447.5700000003</v>
      </c>
      <c r="AC9" s="280"/>
      <c r="AE9" s="281"/>
      <c r="AF9" s="282"/>
      <c r="AG9" s="282"/>
      <c r="AH9" s="282"/>
      <c r="AI9" s="282"/>
    </row>
    <row r="10" spans="1:40" ht="27.9" customHeight="1">
      <c r="A10" s="283" t="s">
        <v>1</v>
      </c>
      <c r="B10" s="284">
        <f>B8+B9</f>
        <v>130394755.39991117</v>
      </c>
      <c r="C10" s="428">
        <f t="shared" si="5"/>
        <v>0.9579860182058817</v>
      </c>
      <c r="D10" s="285">
        <f>D8+D9</f>
        <v>66596366.974771827</v>
      </c>
      <c r="E10" s="425">
        <f t="shared" si="6"/>
        <v>0.5662901668255278</v>
      </c>
      <c r="F10" s="284">
        <f>F8+F9</f>
        <v>42518537.359999992</v>
      </c>
      <c r="G10" s="428">
        <f t="shared" si="0"/>
        <v>-2.3422664680004535E-2</v>
      </c>
      <c r="H10" s="285">
        <f>H8+H9</f>
        <v>43538320.849999994</v>
      </c>
      <c r="I10" s="425">
        <f t="shared" si="1"/>
        <v>-0.19547275804141517</v>
      </c>
      <c r="J10" s="284">
        <f>J8+J9</f>
        <v>54116652.090000011</v>
      </c>
      <c r="K10" s="428">
        <f t="shared" si="2"/>
        <v>0.5302983836437325</v>
      </c>
      <c r="L10" s="285">
        <f>L8+L9</f>
        <v>35363464.189999998</v>
      </c>
      <c r="M10" s="425">
        <f t="shared" si="3"/>
        <v>0.36200800415554402</v>
      </c>
      <c r="N10" s="284">
        <f>N8+N9</f>
        <v>25964211.724236988</v>
      </c>
      <c r="O10" s="428">
        <f t="shared" si="4"/>
        <v>0.46995972352031901</v>
      </c>
      <c r="P10" s="285">
        <f>P8+P9</f>
        <v>17663213.017875649</v>
      </c>
      <c r="Q10" s="425">
        <f t="shared" si="7"/>
        <v>-0.41491207376162675</v>
      </c>
      <c r="R10" s="284">
        <f>R8+R9</f>
        <v>30188989.083120137</v>
      </c>
      <c r="S10" s="428">
        <f t="shared" si="8"/>
        <v>0.91959502871800369</v>
      </c>
      <c r="T10" s="285">
        <f>T8+T9</f>
        <v>15726748.940000001</v>
      </c>
      <c r="U10" s="425">
        <f t="shared" si="9"/>
        <v>-0.3782627481313392</v>
      </c>
      <c r="V10" s="318">
        <v>25294847.449999999</v>
      </c>
      <c r="W10" s="428">
        <f t="shared" si="10"/>
        <v>0.56363479899745328</v>
      </c>
      <c r="X10" s="285">
        <v>16176953.510000002</v>
      </c>
      <c r="Y10" s="425">
        <f t="shared" si="11"/>
        <v>-0.10757870613806098</v>
      </c>
      <c r="Z10" s="286">
        <v>18127036.66</v>
      </c>
      <c r="AC10" s="280"/>
      <c r="AE10" s="281"/>
      <c r="AF10" s="282"/>
      <c r="AG10" s="282"/>
      <c r="AH10" s="282"/>
      <c r="AI10" s="282"/>
    </row>
    <row r="11" spans="1:40" ht="27.9" customHeight="1">
      <c r="A11" s="283" t="s">
        <v>6</v>
      </c>
      <c r="B11" s="284">
        <f>'RZIS '!D18</f>
        <v>121088665.15654226</v>
      </c>
      <c r="C11" s="428">
        <f t="shared" si="5"/>
        <v>1.2550005737109799</v>
      </c>
      <c r="D11" s="285">
        <f>'RZIS '!H18</f>
        <v>53697842.283592254</v>
      </c>
      <c r="E11" s="425">
        <f t="shared" si="6"/>
        <v>1.1570897726294231</v>
      </c>
      <c r="F11" s="284">
        <f>'RZIS '!L18</f>
        <v>24893652.069999993</v>
      </c>
      <c r="G11" s="428">
        <f t="shared" si="0"/>
        <v>-0.15414854527598443</v>
      </c>
      <c r="H11" s="285">
        <f>'RZIS '!P18</f>
        <v>29430288.179999992</v>
      </c>
      <c r="I11" s="425">
        <f t="shared" si="1"/>
        <v>-0.23531868420182467</v>
      </c>
      <c r="J11" s="284">
        <f>'RZIS '!T18</f>
        <v>38486997.88000001</v>
      </c>
      <c r="K11" s="428">
        <f t="shared" si="2"/>
        <v>0.50890928453622553</v>
      </c>
      <c r="L11" s="285">
        <f>'RZIS '!X18</f>
        <v>25506502.129999999</v>
      </c>
      <c r="M11" s="425">
        <f t="shared" si="3"/>
        <v>1.9665134786864518</v>
      </c>
      <c r="N11" s="284">
        <f>'RZIS '!AB18</f>
        <v>8598141.3242369872</v>
      </c>
      <c r="O11" s="428">
        <f t="shared" si="4"/>
        <v>0.96665855101648002</v>
      </c>
      <c r="P11" s="285">
        <f>'RZIS '!AF18</f>
        <v>4371954.3078756519</v>
      </c>
      <c r="Q11" s="425">
        <f t="shared" si="7"/>
        <v>-0.71272709297933279</v>
      </c>
      <c r="R11" s="284">
        <v>15218818.764420139</v>
      </c>
      <c r="S11" s="428">
        <f t="shared" si="8"/>
        <v>2.8475684018397573</v>
      </c>
      <c r="T11" s="285">
        <v>3955438.13</v>
      </c>
      <c r="U11" s="425">
        <f t="shared" si="9"/>
        <v>-0.70780225272747122</v>
      </c>
      <c r="V11" s="318">
        <v>13536853.609999999</v>
      </c>
      <c r="W11" s="428">
        <f t="shared" si="10"/>
        <v>1.4056450449571085</v>
      </c>
      <c r="X11" s="285">
        <v>5627120.1100000003</v>
      </c>
      <c r="Y11" s="425">
        <f t="shared" si="11"/>
        <v>-6.3593410560116692E-2</v>
      </c>
      <c r="Z11" s="286">
        <v>6009270.0899999999</v>
      </c>
      <c r="AC11" s="280"/>
      <c r="AE11" s="281"/>
      <c r="AF11" s="282"/>
      <c r="AG11" s="282"/>
      <c r="AH11" s="282"/>
      <c r="AI11" s="282"/>
    </row>
    <row r="12" spans="1:40" ht="27.9" customHeight="1">
      <c r="A12" s="283" t="s">
        <v>7</v>
      </c>
      <c r="B12" s="284">
        <f>'RZIS '!D21</f>
        <v>100521339.42436205</v>
      </c>
      <c r="C12" s="428">
        <f t="shared" si="5"/>
        <v>1.216452457808094</v>
      </c>
      <c r="D12" s="285">
        <f>'RZIS '!H21</f>
        <v>45352355.323592253</v>
      </c>
      <c r="E12" s="425">
        <f t="shared" si="6"/>
        <v>1.2248254501115015</v>
      </c>
      <c r="F12" s="284">
        <f>'RZIS '!L21</f>
        <v>20384680.209999993</v>
      </c>
      <c r="G12" s="428">
        <f t="shared" si="0"/>
        <v>-0.1534704976713267</v>
      </c>
      <c r="H12" s="285">
        <f>'RZIS '!P21</f>
        <v>24080295.079999991</v>
      </c>
      <c r="I12" s="425">
        <f t="shared" si="1"/>
        <v>-0.22626025179429576</v>
      </c>
      <c r="J12" s="284">
        <f>'RZIS '!T21</f>
        <v>31121956.88000001</v>
      </c>
      <c r="K12" s="428">
        <f t="shared" si="2"/>
        <v>0.53394067456161354</v>
      </c>
      <c r="L12" s="285">
        <f>'RZIS '!X21</f>
        <v>20288892.129999999</v>
      </c>
      <c r="M12" s="425">
        <f t="shared" si="3"/>
        <v>2.087760678746946</v>
      </c>
      <c r="N12" s="284">
        <f>'RZIS '!AB21</f>
        <v>6570746.3242369872</v>
      </c>
      <c r="O12" s="428">
        <f t="shared" si="4"/>
        <v>1.8304783922108316</v>
      </c>
      <c r="P12" s="285">
        <f>'RZIS '!AF21</f>
        <v>2321426.0678756516</v>
      </c>
      <c r="Q12" s="425">
        <f t="shared" si="7"/>
        <v>-0.79275565813111926</v>
      </c>
      <c r="R12" s="284">
        <v>11201396.607220139</v>
      </c>
      <c r="S12" s="428">
        <f t="shared" si="8"/>
        <v>3.2546307228545261</v>
      </c>
      <c r="T12" s="285">
        <v>2632754.13</v>
      </c>
      <c r="U12" s="425">
        <f t="shared" si="9"/>
        <v>-0.75678997378870239</v>
      </c>
      <c r="V12" s="318">
        <v>10825023.01</v>
      </c>
      <c r="W12" s="428">
        <f t="shared" si="10"/>
        <v>2.9616093278153199</v>
      </c>
      <c r="X12" s="285">
        <v>2732481.2</v>
      </c>
      <c r="Y12" s="425">
        <f t="shared" si="11"/>
        <v>-0.51550317267283763</v>
      </c>
      <c r="Z12" s="286">
        <v>5639833.0099999998</v>
      </c>
      <c r="AC12" s="280"/>
      <c r="AE12" s="281"/>
      <c r="AF12" s="282"/>
      <c r="AG12" s="282"/>
      <c r="AH12" s="282"/>
      <c r="AI12" s="282"/>
      <c r="AL12" s="297"/>
      <c r="AM12" s="297"/>
      <c r="AN12" s="297"/>
    </row>
    <row r="13" spans="1:40" ht="27.9" customHeight="1">
      <c r="A13" s="283"/>
      <c r="B13" s="284"/>
      <c r="C13" s="428"/>
      <c r="D13" s="285"/>
      <c r="E13" s="425"/>
      <c r="F13" s="284"/>
      <c r="G13" s="428"/>
      <c r="H13" s="285"/>
      <c r="I13" s="425"/>
      <c r="J13" s="284"/>
      <c r="K13" s="428"/>
      <c r="L13" s="285"/>
      <c r="M13" s="425"/>
      <c r="N13" s="284"/>
      <c r="O13" s="428"/>
      <c r="P13" s="285"/>
      <c r="Q13" s="425"/>
      <c r="R13" s="284"/>
      <c r="S13" s="428"/>
      <c r="T13" s="285"/>
      <c r="U13" s="425"/>
      <c r="V13" s="318"/>
      <c r="W13" s="428"/>
      <c r="X13" s="285"/>
      <c r="Y13" s="425"/>
      <c r="Z13" s="286"/>
      <c r="AC13" s="280"/>
      <c r="AE13" s="281"/>
      <c r="AF13" s="282"/>
      <c r="AG13" s="282"/>
      <c r="AH13" s="282"/>
      <c r="AI13" s="282"/>
      <c r="AL13" s="297"/>
      <c r="AM13" s="297"/>
      <c r="AN13" s="297"/>
    </row>
    <row r="14" spans="1:40" ht="27.9" customHeight="1">
      <c r="A14" s="283" t="s">
        <v>8</v>
      </c>
      <c r="B14" s="284">
        <f>BILANS!D32</f>
        <v>756866398.83515525</v>
      </c>
      <c r="C14" s="428">
        <f t="shared" ref="C14:C19" si="12">(B14/D14)-1</f>
        <v>0.35082114541207865</v>
      </c>
      <c r="D14" s="285">
        <f>BILANS!H32</f>
        <v>560300970.56577182</v>
      </c>
      <c r="E14" s="425">
        <f t="shared" ref="E14:E19" si="13">(D14/F14)-1</f>
        <v>0.32023042595055151</v>
      </c>
      <c r="F14" s="284">
        <f>BILANS!L32</f>
        <v>424396347.45000005</v>
      </c>
      <c r="G14" s="428">
        <f t="shared" ref="G14:G19" si="14">(F14/H14)-1</f>
        <v>-1.8346229785842549E-2</v>
      </c>
      <c r="H14" s="285">
        <f>BILANS!P32</f>
        <v>432327935.09000003</v>
      </c>
      <c r="I14" s="425">
        <f t="shared" ref="I14:I19" si="15">(H14/J14)-1</f>
        <v>3.2060689984201085E-2</v>
      </c>
      <c r="J14" s="284">
        <f>BILANS!T32</f>
        <v>418897783.13</v>
      </c>
      <c r="K14" s="428">
        <f t="shared" ref="K14:K19" si="16">(J14/L14)-1</f>
        <v>-1.1838580252213515E-2</v>
      </c>
      <c r="L14" s="285">
        <f>BILANS!X32</f>
        <v>423916350.87</v>
      </c>
      <c r="M14" s="425">
        <f t="shared" ref="M14:M19" si="17">(L14/N14)-1</f>
        <v>6.8134569783236287E-2</v>
      </c>
      <c r="N14" s="284">
        <f>BILANS!AB32</f>
        <v>396875415.19794476</v>
      </c>
      <c r="O14" s="428">
        <f t="shared" ref="O14:O19" si="18">(N14/P14)-1</f>
        <v>4.012420536348027E-2</v>
      </c>
      <c r="P14" s="285">
        <f>BILANS!AF32</f>
        <v>381565406.4691757</v>
      </c>
      <c r="Q14" s="425">
        <f t="shared" ref="Q14:Q19" si="19">(P14/R14)-1</f>
        <v>5.7228663260896484E-2</v>
      </c>
      <c r="R14" s="284">
        <f>R15+R16</f>
        <v>360910954.96056873</v>
      </c>
      <c r="S14" s="428">
        <f t="shared" si="8"/>
        <v>9.795592405114073E-3</v>
      </c>
      <c r="T14" s="285">
        <v>357409913.13</v>
      </c>
      <c r="U14" s="425">
        <f t="shared" ref="U14:U19" si="20">(T14/V14)-1</f>
        <v>1.7822927444557379E-2</v>
      </c>
      <c r="V14" s="318">
        <v>351151367.77999997</v>
      </c>
      <c r="W14" s="428">
        <f t="shared" si="10"/>
        <v>0.14214600760226359</v>
      </c>
      <c r="X14" s="285">
        <v>307448754.75</v>
      </c>
      <c r="Y14" s="425">
        <f t="shared" si="11"/>
        <v>5.2304055349112977E-2</v>
      </c>
      <c r="Z14" s="286">
        <v>292167224.08999997</v>
      </c>
      <c r="AC14" s="280"/>
      <c r="AE14" s="281"/>
      <c r="AF14" s="282"/>
      <c r="AG14" s="282"/>
      <c r="AH14" s="282"/>
      <c r="AI14" s="282"/>
      <c r="AL14" s="297"/>
      <c r="AM14" s="297"/>
      <c r="AN14" s="297"/>
    </row>
    <row r="15" spans="1:40" ht="27.9" customHeight="1">
      <c r="A15" s="288" t="s">
        <v>9</v>
      </c>
      <c r="B15" s="284">
        <f>BILANS!D17</f>
        <v>257106492.12130001</v>
      </c>
      <c r="C15" s="428">
        <f t="shared" si="12"/>
        <v>2.8136302838408067E-2</v>
      </c>
      <c r="D15" s="285">
        <f>BILANS!H17</f>
        <v>250070434.64130005</v>
      </c>
      <c r="E15" s="425">
        <f t="shared" si="13"/>
        <v>3.7114147632248073E-2</v>
      </c>
      <c r="F15" s="284">
        <f>BILANS!L17</f>
        <v>241121418.71000001</v>
      </c>
      <c r="G15" s="428">
        <f t="shared" si="14"/>
        <v>3.6873042576161419E-2</v>
      </c>
      <c r="H15" s="285">
        <f>BILANS!P17</f>
        <v>232546713.82999998</v>
      </c>
      <c r="I15" s="425">
        <f t="shared" si="15"/>
        <v>-3.3597395365194127E-2</v>
      </c>
      <c r="J15" s="284">
        <f>BILANS!T17</f>
        <v>240631298.70999998</v>
      </c>
      <c r="K15" s="428">
        <f t="shared" si="16"/>
        <v>-3.1679775883155181E-2</v>
      </c>
      <c r="L15" s="285">
        <f>BILANS!X17</f>
        <v>248503844.81999996</v>
      </c>
      <c r="M15" s="425">
        <f t="shared" si="17"/>
        <v>2.5847254248451579E-2</v>
      </c>
      <c r="N15" s="284">
        <f>BILANS!AB17</f>
        <v>242242540.29129994</v>
      </c>
      <c r="O15" s="428">
        <f t="shared" si="18"/>
        <v>2.0186854410110922E-2</v>
      </c>
      <c r="P15" s="285">
        <f>BILANS!AF17</f>
        <v>237449188.10129997</v>
      </c>
      <c r="Q15" s="425">
        <f t="shared" si="19"/>
        <v>4.028539924650909E-2</v>
      </c>
      <c r="R15" s="284">
        <v>228253889.05129996</v>
      </c>
      <c r="S15" s="428">
        <f t="shared" si="8"/>
        <v>1.7018916825668473E-2</v>
      </c>
      <c r="T15" s="285">
        <v>224434261.03</v>
      </c>
      <c r="U15" s="425">
        <f t="shared" si="20"/>
        <v>0.12026392525050045</v>
      </c>
      <c r="V15" s="318">
        <v>200340523.31</v>
      </c>
      <c r="W15" s="428">
        <f t="shared" si="10"/>
        <v>5.7818973262298234E-2</v>
      </c>
      <c r="X15" s="285">
        <v>189390177.69</v>
      </c>
      <c r="Y15" s="425">
        <f t="shared" si="11"/>
        <v>-4.4914312019109781E-3</v>
      </c>
      <c r="Z15" s="286">
        <v>190244648.44</v>
      </c>
      <c r="AC15" s="280"/>
      <c r="AE15" s="281"/>
      <c r="AF15" s="282"/>
      <c r="AG15" s="282"/>
      <c r="AH15" s="282"/>
      <c r="AI15" s="282"/>
    </row>
    <row r="16" spans="1:40" ht="27.9" customHeight="1">
      <c r="A16" s="283" t="s">
        <v>10</v>
      </c>
      <c r="B16" s="284">
        <f>BILANS!D31</f>
        <v>499759906.71385527</v>
      </c>
      <c r="C16" s="428">
        <f t="shared" si="12"/>
        <v>0.61093073964652134</v>
      </c>
      <c r="D16" s="285">
        <f>BILANS!H31</f>
        <v>310230535.93447173</v>
      </c>
      <c r="E16" s="425">
        <f t="shared" si="13"/>
        <v>0.69270580579286545</v>
      </c>
      <c r="F16" s="284">
        <f>BILANS!L31</f>
        <v>183274928.74000001</v>
      </c>
      <c r="G16" s="428">
        <f t="shared" si="14"/>
        <v>-8.2621842112569399E-2</v>
      </c>
      <c r="H16" s="285">
        <f>BILANS!P31</f>
        <v>199781221.26000002</v>
      </c>
      <c r="I16" s="425">
        <f t="shared" si="15"/>
        <v>0.12068862472942921</v>
      </c>
      <c r="J16" s="284">
        <f>BILANS!T31</f>
        <v>178266484.41999999</v>
      </c>
      <c r="K16" s="428">
        <f t="shared" si="16"/>
        <v>1.6270096324753958E-2</v>
      </c>
      <c r="L16" s="285">
        <f>BILANS!X31</f>
        <v>175412506.05000001</v>
      </c>
      <c r="M16" s="425">
        <f t="shared" si="17"/>
        <v>0.13438042302388986</v>
      </c>
      <c r="N16" s="284">
        <f>BILANS!AB31</f>
        <v>154632874.90664482</v>
      </c>
      <c r="O16" s="428">
        <f t="shared" si="18"/>
        <v>7.2973442252862508E-2</v>
      </c>
      <c r="P16" s="285">
        <f>BILANS!AF31</f>
        <v>144116218.36787573</v>
      </c>
      <c r="Q16" s="425">
        <f t="shared" si="19"/>
        <v>8.6381772279242819E-2</v>
      </c>
      <c r="R16" s="284">
        <v>132657065.90926875</v>
      </c>
      <c r="S16" s="428">
        <f t="shared" si="8"/>
        <v>-2.3958234887365704E-3</v>
      </c>
      <c r="T16" s="285">
        <v>132975652.09999999</v>
      </c>
      <c r="U16" s="425">
        <f t="shared" si="20"/>
        <v>-0.11826200186517666</v>
      </c>
      <c r="V16" s="318">
        <v>150810844.47</v>
      </c>
      <c r="W16" s="428">
        <f t="shared" si="10"/>
        <v>0.27742387063800167</v>
      </c>
      <c r="X16" s="285">
        <v>118058577.06</v>
      </c>
      <c r="Y16" s="425">
        <f t="shared" si="11"/>
        <v>0.15831626415535927</v>
      </c>
      <c r="Z16" s="286">
        <v>101922575.65000001</v>
      </c>
      <c r="AC16" s="280"/>
      <c r="AE16" s="281"/>
      <c r="AF16" s="282"/>
      <c r="AG16" s="282"/>
      <c r="AH16" s="282"/>
      <c r="AI16" s="282"/>
    </row>
    <row r="17" spans="1:93" ht="27.9" customHeight="1">
      <c r="A17" s="283" t="s">
        <v>11</v>
      </c>
      <c r="B17" s="284">
        <f>BILANS!D41</f>
        <v>462806716.82999998</v>
      </c>
      <c r="C17" s="428">
        <f t="shared" si="12"/>
        <v>0.2751688518088875</v>
      </c>
      <c r="D17" s="285">
        <f>BILANS!H41</f>
        <v>362937595.42000002</v>
      </c>
      <c r="E17" s="425">
        <f t="shared" si="13"/>
        <v>0.14523218528155524</v>
      </c>
      <c r="F17" s="284">
        <f>BILANS!L41</f>
        <v>316911801.88999999</v>
      </c>
      <c r="G17" s="428">
        <f t="shared" si="14"/>
        <v>7.4027333830877451E-2</v>
      </c>
      <c r="H17" s="285">
        <f>BILANS!P41</f>
        <v>295068655.98999995</v>
      </c>
      <c r="I17" s="425">
        <f t="shared" si="15"/>
        <v>8.7460140392706887E-2</v>
      </c>
      <c r="J17" s="284">
        <f>BILANS!T41</f>
        <v>271337444.95999998</v>
      </c>
      <c r="K17" s="428">
        <f t="shared" si="16"/>
        <v>0.13102203051032357</v>
      </c>
      <c r="L17" s="285">
        <f>BILANS!X41</f>
        <v>239904650.52000001</v>
      </c>
      <c r="M17" s="425">
        <f t="shared" si="17"/>
        <v>0.10167403909350026</v>
      </c>
      <c r="N17" s="284">
        <f>BILANS!AB41</f>
        <v>217763732.29000002</v>
      </c>
      <c r="O17" s="428">
        <f t="shared" si="18"/>
        <v>2.7644872581290114E-2</v>
      </c>
      <c r="P17" s="285">
        <f>BILANS!AF41</f>
        <v>211905628.1991756</v>
      </c>
      <c r="Q17" s="425">
        <f t="shared" si="19"/>
        <v>5.4318829016326564E-3</v>
      </c>
      <c r="R17" s="284">
        <v>210760800.21216869</v>
      </c>
      <c r="S17" s="428">
        <f t="shared" si="8"/>
        <v>6.0409388487312921E-2</v>
      </c>
      <c r="T17" s="285">
        <v>198754181.63999999</v>
      </c>
      <c r="U17" s="425">
        <f t="shared" si="20"/>
        <v>-6.2017532052692781E-3</v>
      </c>
      <c r="V17" s="318">
        <v>199994498.16</v>
      </c>
      <c r="W17" s="428">
        <f t="shared" si="10"/>
        <v>8.1336648690025548E-2</v>
      </c>
      <c r="X17" s="285">
        <v>184951188.33000001</v>
      </c>
      <c r="Y17" s="425">
        <f t="shared" si="11"/>
        <v>3.2515793236094215E-2</v>
      </c>
      <c r="Z17" s="286">
        <v>179126740.28</v>
      </c>
      <c r="AC17" s="280"/>
      <c r="AE17" s="281"/>
      <c r="AF17" s="282"/>
      <c r="AG17" s="282"/>
      <c r="AH17" s="282"/>
      <c r="AI17" s="282"/>
    </row>
    <row r="18" spans="1:93" ht="27.9" customHeight="1">
      <c r="A18" s="283" t="s">
        <v>12</v>
      </c>
      <c r="B18" s="284">
        <f>BILANS!D49</f>
        <v>29403823.575128198</v>
      </c>
      <c r="C18" s="428">
        <f t="shared" si="12"/>
        <v>-0.23567048971592863</v>
      </c>
      <c r="D18" s="285">
        <f>BILANS!H49</f>
        <v>38470088.07</v>
      </c>
      <c r="E18" s="425">
        <f t="shared" si="13"/>
        <v>-1.2268019059112567E-2</v>
      </c>
      <c r="F18" s="284">
        <f>BILANS!L49</f>
        <v>38947901.670000002</v>
      </c>
      <c r="G18" s="428">
        <f t="shared" si="14"/>
        <v>-6.8469201919375444E-2</v>
      </c>
      <c r="H18" s="285">
        <f>BILANS!P49</f>
        <v>41810643.030000001</v>
      </c>
      <c r="I18" s="425">
        <f t="shared" si="15"/>
        <v>-7.6162589446394757E-2</v>
      </c>
      <c r="J18" s="284">
        <f>BILANS!T49</f>
        <v>45257577.310000002</v>
      </c>
      <c r="K18" s="428">
        <f t="shared" si="16"/>
        <v>-0.12072916991825022</v>
      </c>
      <c r="L18" s="285">
        <f>BILANS!X49</f>
        <v>51471714.700000003</v>
      </c>
      <c r="M18" s="425">
        <f t="shared" si="17"/>
        <v>2.6818122520184229E-2</v>
      </c>
      <c r="N18" s="284">
        <f>BILANS!AB49</f>
        <v>50127392.155555002</v>
      </c>
      <c r="O18" s="428">
        <f t="shared" si="18"/>
        <v>0.21122169663694845</v>
      </c>
      <c r="P18" s="285">
        <f>BILANS!AF49</f>
        <v>41385810.950000003</v>
      </c>
      <c r="Q18" s="425">
        <f t="shared" si="19"/>
        <v>-1.8384596970375089E-2</v>
      </c>
      <c r="R18" s="284">
        <v>42160922.518399999</v>
      </c>
      <c r="S18" s="428">
        <f t="shared" si="8"/>
        <v>-0.10178707846680513</v>
      </c>
      <c r="T18" s="285">
        <v>46938672.899999999</v>
      </c>
      <c r="U18" s="425">
        <f t="shared" si="20"/>
        <v>-1.2633995497281836E-2</v>
      </c>
      <c r="V18" s="318">
        <v>47539284</v>
      </c>
      <c r="W18" s="428">
        <f t="shared" si="10"/>
        <v>1.6504545662541892E-2</v>
      </c>
      <c r="X18" s="285">
        <v>46767409.159999996</v>
      </c>
      <c r="Y18" s="425">
        <f t="shared" si="11"/>
        <v>0.51722381924580008</v>
      </c>
      <c r="Z18" s="286">
        <v>30824330.969999999</v>
      </c>
      <c r="AC18" s="280"/>
      <c r="AE18" s="281"/>
      <c r="AF18" s="282"/>
      <c r="AG18" s="282"/>
      <c r="AH18" s="282"/>
      <c r="AI18" s="282"/>
    </row>
    <row r="19" spans="1:93" ht="27.9" customHeight="1">
      <c r="A19" s="283" t="s">
        <v>13</v>
      </c>
      <c r="B19" s="284">
        <f>BILANS!D59</f>
        <v>264655858.42999995</v>
      </c>
      <c r="C19" s="428">
        <f t="shared" si="12"/>
        <v>0.6656201359642735</v>
      </c>
      <c r="D19" s="285">
        <f>BILANS!H59</f>
        <v>158893287.08000001</v>
      </c>
      <c r="E19" s="425">
        <f t="shared" si="13"/>
        <v>1.318369824688538</v>
      </c>
      <c r="F19" s="284">
        <f>BILANS!L59</f>
        <v>68536643.889999986</v>
      </c>
      <c r="G19" s="428">
        <f t="shared" si="14"/>
        <v>-0.28195261124803639</v>
      </c>
      <c r="H19" s="285">
        <f>BILANS!P59</f>
        <v>95448636.069999993</v>
      </c>
      <c r="I19" s="425">
        <f t="shared" si="15"/>
        <v>-6.6998434180870259E-2</v>
      </c>
      <c r="J19" s="284">
        <f>BILANS!T59</f>
        <v>102302760.86000001</v>
      </c>
      <c r="K19" s="428">
        <f t="shared" si="16"/>
        <v>-0.22813662338735863</v>
      </c>
      <c r="L19" s="285">
        <f>BILANS!X59</f>
        <v>132539985.64999998</v>
      </c>
      <c r="M19" s="425">
        <f t="shared" si="17"/>
        <v>2.7566883372578177E-2</v>
      </c>
      <c r="N19" s="284">
        <f>BILANS!AB59</f>
        <v>128984290.75</v>
      </c>
      <c r="O19" s="428">
        <f t="shared" si="18"/>
        <v>5.5375493940090781E-3</v>
      </c>
      <c r="P19" s="285">
        <f>BILANS!AF59</f>
        <v>128273967.32000001</v>
      </c>
      <c r="Q19" s="425">
        <f t="shared" si="19"/>
        <v>0.18784034918219139</v>
      </c>
      <c r="R19" s="284">
        <f>R14-R17-R18</f>
        <v>107989232.23000003</v>
      </c>
      <c r="S19" s="428">
        <f t="shared" si="8"/>
        <v>-3.3368461424329476E-2</v>
      </c>
      <c r="T19" s="285">
        <v>111717058.59</v>
      </c>
      <c r="U19" s="425">
        <f t="shared" si="20"/>
        <v>7.8166972541740654E-2</v>
      </c>
      <c r="V19" s="318">
        <v>103617585.62</v>
      </c>
      <c r="W19" s="428">
        <f t="shared" si="10"/>
        <v>0.36824733196123827</v>
      </c>
      <c r="X19" s="285">
        <v>75730157.260000005</v>
      </c>
      <c r="Y19" s="425">
        <f t="shared" si="11"/>
        <v>-7.8889553402265444E-2</v>
      </c>
      <c r="Z19" s="286">
        <v>82216152.840000004</v>
      </c>
      <c r="AC19" s="280"/>
      <c r="AE19" s="281"/>
      <c r="AF19" s="282"/>
      <c r="AG19" s="282"/>
      <c r="AH19" s="282"/>
      <c r="AI19" s="282"/>
    </row>
    <row r="20" spans="1:93" ht="27.9" customHeight="1">
      <c r="J20" s="289"/>
      <c r="K20" s="289"/>
      <c r="L20" s="290"/>
      <c r="M20" s="290"/>
    </row>
    <row r="21" spans="1:93" ht="45.75" customHeight="1">
      <c r="A21" s="525" t="s">
        <v>137</v>
      </c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270"/>
      <c r="N21" s="291"/>
      <c r="O21" s="291"/>
      <c r="P21" s="291"/>
      <c r="Q21" s="291"/>
      <c r="R21" s="291"/>
    </row>
    <row r="22" spans="1:93" ht="27.9" customHeight="1">
      <c r="A22" s="497"/>
      <c r="B22" s="378" t="s">
        <v>287</v>
      </c>
      <c r="C22" s="311" t="s">
        <v>113</v>
      </c>
      <c r="D22" s="24" t="s">
        <v>285</v>
      </c>
      <c r="E22" s="518" t="s">
        <v>113</v>
      </c>
      <c r="F22" s="378" t="s">
        <v>283</v>
      </c>
      <c r="G22" s="311" t="s">
        <v>113</v>
      </c>
      <c r="H22" s="24" t="s">
        <v>278</v>
      </c>
      <c r="I22" s="464" t="s">
        <v>113</v>
      </c>
      <c r="J22" s="378" t="s">
        <v>276</v>
      </c>
      <c r="K22" s="311" t="s">
        <v>113</v>
      </c>
      <c r="L22" s="24" t="s">
        <v>274</v>
      </c>
      <c r="M22" s="518" t="s">
        <v>113</v>
      </c>
      <c r="N22" s="378" t="s">
        <v>273</v>
      </c>
      <c r="O22" s="311" t="s">
        <v>113</v>
      </c>
      <c r="P22" s="24" t="s">
        <v>268</v>
      </c>
      <c r="Q22" s="464" t="s">
        <v>113</v>
      </c>
      <c r="R22" s="515" t="s">
        <v>266</v>
      </c>
      <c r="S22" s="311" t="s">
        <v>113</v>
      </c>
      <c r="T22" s="24" t="s">
        <v>264</v>
      </c>
      <c r="U22" s="518" t="s">
        <v>113</v>
      </c>
      <c r="V22" s="378" t="s">
        <v>256</v>
      </c>
      <c r="W22" s="311" t="s">
        <v>113</v>
      </c>
      <c r="X22" s="24" t="s">
        <v>252</v>
      </c>
      <c r="Y22" s="464" t="s">
        <v>113</v>
      </c>
      <c r="Z22" s="17" t="s">
        <v>249</v>
      </c>
      <c r="AA22" s="311" t="s">
        <v>113</v>
      </c>
      <c r="AB22" s="24" t="s">
        <v>247</v>
      </c>
      <c r="AC22" s="464" t="s">
        <v>113</v>
      </c>
      <c r="AD22" s="515" t="s">
        <v>245</v>
      </c>
      <c r="AE22" s="311" t="s">
        <v>113</v>
      </c>
      <c r="AF22" s="24" t="s">
        <v>241</v>
      </c>
      <c r="AG22" s="464" t="s">
        <v>113</v>
      </c>
      <c r="AH22" s="17" t="s">
        <v>239</v>
      </c>
      <c r="AI22" s="311" t="s">
        <v>113</v>
      </c>
      <c r="AJ22" s="24" t="s">
        <v>237</v>
      </c>
      <c r="AK22" s="464" t="s">
        <v>113</v>
      </c>
      <c r="AL22" s="483" t="s">
        <v>235</v>
      </c>
      <c r="AM22" s="311" t="s">
        <v>113</v>
      </c>
      <c r="AN22" s="24" t="s">
        <v>230</v>
      </c>
      <c r="AO22" s="464" t="s">
        <v>113</v>
      </c>
      <c r="AP22" s="17" t="s">
        <v>227</v>
      </c>
      <c r="AQ22" s="311" t="s">
        <v>113</v>
      </c>
      <c r="AR22" s="24" t="s">
        <v>225</v>
      </c>
      <c r="AS22" s="464" t="s">
        <v>113</v>
      </c>
      <c r="AT22" s="483" t="s">
        <v>220</v>
      </c>
      <c r="AU22" s="311" t="s">
        <v>113</v>
      </c>
      <c r="AV22" s="24" t="s">
        <v>216</v>
      </c>
      <c r="AW22" s="464" t="s">
        <v>113</v>
      </c>
      <c r="AX22" s="17" t="s">
        <v>214</v>
      </c>
      <c r="AY22" s="311" t="s">
        <v>113</v>
      </c>
      <c r="AZ22" s="24" t="s">
        <v>212</v>
      </c>
      <c r="BA22" s="464" t="s">
        <v>113</v>
      </c>
      <c r="BB22" s="483" t="s">
        <v>208</v>
      </c>
      <c r="BC22" s="311" t="s">
        <v>113</v>
      </c>
      <c r="BD22" s="24" t="s">
        <v>206</v>
      </c>
      <c r="BE22" s="464" t="s">
        <v>113</v>
      </c>
      <c r="BF22" s="17" t="s">
        <v>203</v>
      </c>
      <c r="BG22" s="311" t="s">
        <v>113</v>
      </c>
      <c r="BH22" s="24" t="s">
        <v>202</v>
      </c>
      <c r="BI22" s="299" t="s">
        <v>113</v>
      </c>
      <c r="BJ22" s="17" t="s">
        <v>201</v>
      </c>
      <c r="BK22" s="311" t="s">
        <v>113</v>
      </c>
      <c r="BL22" s="24" t="s">
        <v>198</v>
      </c>
      <c r="BM22" s="300" t="s">
        <v>113</v>
      </c>
      <c r="BN22" s="17" t="s">
        <v>192</v>
      </c>
      <c r="BO22" s="311" t="s">
        <v>113</v>
      </c>
      <c r="BP22" s="298" t="s">
        <v>190</v>
      </c>
      <c r="BQ22" s="299" t="s">
        <v>113</v>
      </c>
      <c r="BR22" s="292" t="s">
        <v>196</v>
      </c>
      <c r="BS22" s="311" t="s">
        <v>113</v>
      </c>
      <c r="BT22" s="298" t="s">
        <v>187</v>
      </c>
      <c r="BU22" s="300" t="s">
        <v>113</v>
      </c>
      <c r="BV22" s="292" t="s">
        <v>185</v>
      </c>
      <c r="BW22" s="311" t="s">
        <v>113</v>
      </c>
      <c r="BX22" s="298" t="s">
        <v>183</v>
      </c>
      <c r="BY22" s="299" t="s">
        <v>113</v>
      </c>
      <c r="BZ22" s="292" t="s">
        <v>181</v>
      </c>
      <c r="CA22" s="298" t="s">
        <v>179</v>
      </c>
      <c r="CB22" s="292" t="s">
        <v>175</v>
      </c>
      <c r="CC22" s="321" t="s">
        <v>155</v>
      </c>
      <c r="CD22" s="292" t="s">
        <v>114</v>
      </c>
      <c r="CE22" s="298" t="s">
        <v>14</v>
      </c>
      <c r="CF22" s="292" t="s">
        <v>15</v>
      </c>
      <c r="CG22" s="321" t="s">
        <v>16</v>
      </c>
      <c r="CH22" s="292" t="s">
        <v>17</v>
      </c>
      <c r="CI22" s="298" t="s">
        <v>18</v>
      </c>
      <c r="CJ22" s="292" t="s">
        <v>19</v>
      </c>
      <c r="CK22" s="301" t="s">
        <v>20</v>
      </c>
      <c r="CL22" s="292" t="s">
        <v>21</v>
      </c>
      <c r="CM22" s="298" t="s">
        <v>22</v>
      </c>
      <c r="CN22" s="292" t="s">
        <v>23</v>
      </c>
      <c r="CO22" s="298" t="s">
        <v>24</v>
      </c>
    </row>
    <row r="23" spans="1:93" ht="27.9" customHeight="1">
      <c r="A23" s="498" t="s">
        <v>2</v>
      </c>
      <c r="B23" s="312">
        <f>'RZIS '!B6</f>
        <v>312045044.82999998</v>
      </c>
      <c r="C23" s="313">
        <f t="shared" ref="C23:C30" si="21">(B23/J23)-1</f>
        <v>0.52224875794495307</v>
      </c>
      <c r="D23" s="465">
        <f>'RZIS '!C6</f>
        <v>107620258.90000001</v>
      </c>
      <c r="E23" s="519">
        <f>(D23/L23)-1</f>
        <v>6.6540992313944392E-2</v>
      </c>
      <c r="F23" s="312">
        <f>'RZIS '!D6</f>
        <v>510226718.13999999</v>
      </c>
      <c r="G23" s="313">
        <f t="shared" ref="G23:G30" si="22">(F23/N23)-1</f>
        <v>0.35118906142394524</v>
      </c>
      <c r="H23" s="465">
        <f>'RZIS '!E6</f>
        <v>358462915.00999999</v>
      </c>
      <c r="I23" s="513">
        <f>(H23/P23)-1</f>
        <v>0.78054636402813249</v>
      </c>
      <c r="J23" s="312">
        <f>'RZIS '!F6</f>
        <v>204989521.72</v>
      </c>
      <c r="K23" s="313">
        <f t="shared" ref="K23:K30" si="23">(J23/R23)-1</f>
        <v>0.47130913054680446</v>
      </c>
      <c r="L23" s="465">
        <f>'RZIS '!G6</f>
        <v>100905881.42</v>
      </c>
      <c r="M23" s="519">
        <f t="shared" ref="M23:M30" si="24">(L23/T23)-1</f>
        <v>0.39472506190122925</v>
      </c>
      <c r="N23" s="312">
        <f>'RZIS '!H6</f>
        <v>377613120.70000005</v>
      </c>
      <c r="O23" s="313">
        <f t="shared" ref="O23:O30" si="25">(N23/V23)-1</f>
        <v>0.13737122507096622</v>
      </c>
      <c r="P23" s="465">
        <f>'RZIS '!I6</f>
        <v>201321865.16000003</v>
      </c>
      <c r="Q23" s="513">
        <f>(P23/X23)-1</f>
        <v>-0.21380336134514344</v>
      </c>
      <c r="R23" s="312">
        <f>'RZIS '!J6</f>
        <v>139324576.63999999</v>
      </c>
      <c r="S23" s="313">
        <f t="shared" ref="S23:S30" si="26">(R23/Z23)-1</f>
        <v>-0.29181752990368759</v>
      </c>
      <c r="T23" s="465">
        <f>'RZIS '!K6</f>
        <v>72348224.159999996</v>
      </c>
      <c r="U23" s="519">
        <f t="shared" ref="U23:U30" si="27">(T23/AB23)-1</f>
        <v>-0.29309492501814616</v>
      </c>
      <c r="V23" s="312">
        <f>'RZIS '!L6</f>
        <v>332005164.51999998</v>
      </c>
      <c r="W23" s="313">
        <f t="shared" ref="W23:W30" si="28">(V23/AD23)-1</f>
        <v>0.25080392710059929</v>
      </c>
      <c r="X23" s="465">
        <f>'RZIS '!M6</f>
        <v>256070625.66999999</v>
      </c>
      <c r="Y23" s="513">
        <f>(X23/AF23)-1</f>
        <v>0.33722880047158266</v>
      </c>
      <c r="Z23" s="312">
        <f>'RZIS '!N6</f>
        <v>196735421.34</v>
      </c>
      <c r="AA23" s="313">
        <f t="shared" ref="AA23:AA30" si="29">(Z23/AH23)-1</f>
        <v>0.45219161312309031</v>
      </c>
      <c r="AB23" s="465">
        <f>'RZIS '!O6</f>
        <v>102345034.31999999</v>
      </c>
      <c r="AC23" s="466">
        <f t="shared" ref="AC23:AC30" si="30">(AB23/AJ23)-1</f>
        <v>0.48835245188493936</v>
      </c>
      <c r="AD23" s="484">
        <f>'RZIS '!P6</f>
        <v>265433420.31999999</v>
      </c>
      <c r="AE23" s="313">
        <f t="shared" ref="AE23:AE30" si="31">(AD23/AL23)-1</f>
        <v>0.11676809041328418</v>
      </c>
      <c r="AF23" s="465">
        <f>'RZIS '!Q6</f>
        <v>191493501.77000001</v>
      </c>
      <c r="AG23" s="513">
        <f>(AF23/AN23)-1</f>
        <v>2.5259289597034051E-2</v>
      </c>
      <c r="AH23" s="312">
        <f>'RZIS '!R6</f>
        <v>135474836.49000001</v>
      </c>
      <c r="AI23" s="313">
        <f t="shared" ref="AI23:AI30" si="32">(AH23/AP23)-1</f>
        <v>-6.2355303811731044E-2</v>
      </c>
      <c r="AJ23" s="465">
        <f>'RZIS '!S6</f>
        <v>68763977.370000005</v>
      </c>
      <c r="AK23" s="466">
        <f t="shared" ref="AK23:AK30" si="33">(AJ23/AR23)-1</f>
        <v>-0.12855402021256779</v>
      </c>
      <c r="AL23" s="484">
        <f>'RZIS '!T6</f>
        <v>237679982.62</v>
      </c>
      <c r="AM23" s="313">
        <f t="shared" ref="AM23:AM30" si="34">(AL23/AT23)-1</f>
        <v>-7.9197834698744862E-2</v>
      </c>
      <c r="AN23" s="465">
        <f>'RZIS '!U6</f>
        <v>186775680.75999999</v>
      </c>
      <c r="AO23" s="466">
        <f t="shared" ref="AO23:AO30" si="35">(AN23/AV23)-1</f>
        <v>2.6647036557222448E-2</v>
      </c>
      <c r="AP23" s="312">
        <f>'RZIS '!V6</f>
        <v>144484192.19</v>
      </c>
      <c r="AQ23" s="313">
        <f>(AP23/AX23)-1</f>
        <v>1.8837509331692592E-2</v>
      </c>
      <c r="AR23" s="465">
        <f>'RZIS '!W6</f>
        <v>78907905.900000006</v>
      </c>
      <c r="AS23" s="466">
        <f t="shared" ref="AS23:AS30" si="36">(AR23/AZ23)-1</f>
        <v>0.12746754245217207</v>
      </c>
      <c r="AT23" s="484">
        <f>'RZIS '!X6</f>
        <v>258122745.12</v>
      </c>
      <c r="AU23" s="313">
        <f t="shared" ref="AU23:AU30" si="37">(AT23/BB23)-1</f>
        <v>7.7528940301836879E-2</v>
      </c>
      <c r="AV23" s="465">
        <f>'RZIS '!Y6</f>
        <v>181927842.88</v>
      </c>
      <c r="AW23" s="466">
        <f>(AV23/BD23)-1</f>
        <v>5.5376238298636027E-2</v>
      </c>
      <c r="AX23" s="312">
        <f>'RZIS '!Z6</f>
        <v>141812792.38999999</v>
      </c>
      <c r="AY23" s="313">
        <f t="shared" ref="AY23:AY29" si="38">(AX23/BF23)-1</f>
        <v>8.4843348695195386E-2</v>
      </c>
      <c r="AZ23" s="465">
        <f>'RZIS '!AA6</f>
        <v>69986853.659999996</v>
      </c>
      <c r="BA23" s="466">
        <f>(AZ23/BH23)-1</f>
        <v>-1.5059636211443017E-3</v>
      </c>
      <c r="BB23" s="484">
        <f>'RZIS '!AB6</f>
        <v>239550638.00671077</v>
      </c>
      <c r="BC23" s="313">
        <f>(BB23/BJ23)-1</f>
        <v>3.7907813773723431E-2</v>
      </c>
      <c r="BD23" s="465">
        <f>'RZIS '!AC6</f>
        <v>172381977.41999999</v>
      </c>
      <c r="BE23" s="466">
        <f>(BD23/BL23)-1</f>
        <v>7.5897587328788152E-3</v>
      </c>
      <c r="BF23" s="312">
        <f>'RZIS '!AD6</f>
        <v>130721907.97000003</v>
      </c>
      <c r="BG23" s="313">
        <f>(BF23/BN23)-1</f>
        <v>7.1135813765632383E-2</v>
      </c>
      <c r="BH23" s="302">
        <f>'RZIS '!AE6</f>
        <v>70092410.280000001</v>
      </c>
      <c r="BI23" s="303">
        <f>(BH23/BP23)-1</f>
        <v>0.18900502668406749</v>
      </c>
      <c r="BJ23" s="312">
        <f>'RZIS '!AF6</f>
        <v>230801459.26999998</v>
      </c>
      <c r="BK23" s="313">
        <f>BJ23/BR23-1</f>
        <v>-0.1575872588176207</v>
      </c>
      <c r="BL23" s="278">
        <f>'RZIS '!AG6</f>
        <v>171083494.97</v>
      </c>
      <c r="BM23" s="304">
        <f>(BL23/BT23)-1</f>
        <v>-9.0470442586959909E-2</v>
      </c>
      <c r="BN23" s="312">
        <f>'RZIS '!AH6</f>
        <v>122040460.5</v>
      </c>
      <c r="BO23" s="313">
        <f>BN23/BV23-1</f>
        <v>-0.16066962591684097</v>
      </c>
      <c r="BP23" s="302">
        <f>'RZIS '!AI6</f>
        <v>58950474.310000017</v>
      </c>
      <c r="BQ23" s="303">
        <f>(BP23/BX23)-1</f>
        <v>-0.1510088057849186</v>
      </c>
      <c r="BR23" s="312">
        <f>R5</f>
        <v>273976695.73000002</v>
      </c>
      <c r="BS23" s="313">
        <f>BR23/BZ23-1</f>
        <v>0.14063987764663843</v>
      </c>
      <c r="BT23" s="278">
        <f>'RZIS '!AK6</f>
        <v>188101083.21999997</v>
      </c>
      <c r="BU23" s="304">
        <f t="shared" ref="BU23:BU30" si="39">(BT23/CA23)-1</f>
        <v>3.4404741142730177E-2</v>
      </c>
      <c r="BV23" s="312">
        <f>'RZIS '!AL6</f>
        <v>145402173.28999999</v>
      </c>
      <c r="BW23" s="313">
        <f t="shared" ref="BW23:BW30" si="40">BV23/CB23-1</f>
        <v>4.4636375059605715E-2</v>
      </c>
      <c r="BX23" s="302">
        <f>'RZIS '!AM6</f>
        <v>69435907.829999998</v>
      </c>
      <c r="BY23" s="303">
        <f t="shared" ref="BY23:BY30" si="41">(BX23/CC23)-1</f>
        <v>1.8470569281900273E-2</v>
      </c>
      <c r="BZ23" s="312">
        <f>'RZIS '!AN6</f>
        <v>240195613.97</v>
      </c>
      <c r="CA23" s="278">
        <f>'RZIS '!AO6</f>
        <v>181844761.28</v>
      </c>
      <c r="CB23" s="312">
        <f>'RZIS '!AP6</f>
        <v>139189268.88</v>
      </c>
      <c r="CC23" s="322">
        <v>68176646.359999999</v>
      </c>
      <c r="CD23" s="317">
        <v>236132659.59</v>
      </c>
      <c r="CE23" s="278">
        <v>189746508.30000001</v>
      </c>
      <c r="CF23" s="279">
        <v>141115681.33000001</v>
      </c>
      <c r="CG23" s="322">
        <v>70254992.079999998</v>
      </c>
      <c r="CH23" s="279">
        <v>210800526.28</v>
      </c>
      <c r="CI23" s="278">
        <v>166442197.66</v>
      </c>
      <c r="CJ23" s="279">
        <v>128555990.25</v>
      </c>
      <c r="CK23" s="305">
        <v>59222835.649999999</v>
      </c>
      <c r="CL23" s="279">
        <v>190088429.09999999</v>
      </c>
      <c r="CM23" s="278">
        <v>150801072.02000001</v>
      </c>
      <c r="CN23" s="279">
        <v>115834433.11</v>
      </c>
      <c r="CO23" s="278">
        <v>54813978.990000002</v>
      </c>
    </row>
    <row r="24" spans="1:93" ht="27.9" customHeight="1">
      <c r="A24" s="499" t="s">
        <v>3</v>
      </c>
      <c r="B24" s="314">
        <f>'RZIS '!B8</f>
        <v>109919156.01999998</v>
      </c>
      <c r="C24" s="315">
        <f t="shared" si="21"/>
        <v>0.63741316266518377</v>
      </c>
      <c r="D24" s="467">
        <f>'RZIS '!C8</f>
        <v>30428332.636450827</v>
      </c>
      <c r="E24" s="520">
        <f t="shared" ref="E24:E27" si="42">(D24/L24)-1</f>
        <v>-4.7843887913697536E-2</v>
      </c>
      <c r="F24" s="312">
        <f>'RZIS '!D8</f>
        <v>204913948.63738382</v>
      </c>
      <c r="G24" s="315">
        <f t="shared" si="22"/>
        <v>0.74718872127124358</v>
      </c>
      <c r="H24" s="467">
        <f>'RZIS '!E8</f>
        <v>144121537.67999998</v>
      </c>
      <c r="I24" s="514">
        <f t="shared" ref="I24:I30" si="43">(H24/P24)-1</f>
        <v>1.9895656547671696</v>
      </c>
      <c r="J24" s="314">
        <f>'RZIS '!F8</f>
        <v>67129762.069999993</v>
      </c>
      <c r="K24" s="315">
        <f t="shared" si="23"/>
        <v>1.4605262769948664</v>
      </c>
      <c r="L24" s="467">
        <f>'RZIS '!G8</f>
        <v>31957293.820000008</v>
      </c>
      <c r="M24" s="520">
        <f t="shared" si="24"/>
        <v>1.8732037919007705</v>
      </c>
      <c r="N24" s="314">
        <f>'RZIS '!H8</f>
        <v>117282092.16477183</v>
      </c>
      <c r="O24" s="315">
        <f t="shared" si="25"/>
        <v>0.2586943803269337</v>
      </c>
      <c r="P24" s="467">
        <f>'RZIS '!I8</f>
        <v>48208186.17921415</v>
      </c>
      <c r="Q24" s="514">
        <f t="shared" ref="Q24:Q30" si="44">(P24/X24)-1</f>
        <v>-0.33589184641187786</v>
      </c>
      <c r="R24" s="314">
        <f>'RZIS '!J8</f>
        <v>27282684.479999989</v>
      </c>
      <c r="S24" s="315">
        <f t="shared" si="26"/>
        <v>-0.52771414877218548</v>
      </c>
      <c r="T24" s="467">
        <f>'RZIS '!K8</f>
        <v>11122529.459999993</v>
      </c>
      <c r="U24" s="520">
        <f t="shared" si="27"/>
        <v>-0.59205336211774218</v>
      </c>
      <c r="V24" s="314">
        <f>'RZIS '!L8</f>
        <v>93177576.699999988</v>
      </c>
      <c r="W24" s="315">
        <f t="shared" si="28"/>
        <v>0.18471713737573414</v>
      </c>
      <c r="X24" s="467">
        <f>'RZIS '!M8</f>
        <v>72590866.289999992</v>
      </c>
      <c r="Y24" s="514">
        <f t="shared" ref="Y24:Y30" si="45">(X24/AF24)-1</f>
        <v>0.20943344056677438</v>
      </c>
      <c r="Z24" s="314">
        <f>'RZIS '!N8</f>
        <v>57767312.75999999</v>
      </c>
      <c r="AA24" s="315">
        <f t="shared" si="29"/>
        <v>0.33665474238121251</v>
      </c>
      <c r="AB24" s="467">
        <f>'RZIS '!O8</f>
        <v>27264667.549999997</v>
      </c>
      <c r="AC24" s="468">
        <f t="shared" si="30"/>
        <v>0.33516253516627259</v>
      </c>
      <c r="AD24" s="485">
        <f>'RZIS '!P8</f>
        <v>78649640.289999992</v>
      </c>
      <c r="AE24" s="315">
        <f t="shared" si="31"/>
        <v>-7.504299361501765E-3</v>
      </c>
      <c r="AF24" s="467">
        <f>'RZIS '!Q8</f>
        <v>60020554.960000008</v>
      </c>
      <c r="AG24" s="514">
        <f t="shared" ref="AG24:AG30" si="46">(AF24/AN24)-1</f>
        <v>-8.3261458890975804E-2</v>
      </c>
      <c r="AH24" s="314">
        <f>'RZIS '!R8</f>
        <v>43217826.510000005</v>
      </c>
      <c r="AI24" s="315">
        <f t="shared" si="32"/>
        <v>-0.17042297887542612</v>
      </c>
      <c r="AJ24" s="467">
        <f>'RZIS '!S8</f>
        <v>20420485.770000003</v>
      </c>
      <c r="AK24" s="468">
        <f t="shared" si="33"/>
        <v>-0.18975725736235727</v>
      </c>
      <c r="AL24" s="485">
        <f>'RZIS '!T8</f>
        <v>79244313.340000004</v>
      </c>
      <c r="AM24" s="315">
        <f t="shared" si="34"/>
        <v>0.2221521202694523</v>
      </c>
      <c r="AN24" s="467">
        <f>'RZIS '!U8</f>
        <v>65471835.499999985</v>
      </c>
      <c r="AO24" s="468">
        <f t="shared" si="35"/>
        <v>0.54611236539505859</v>
      </c>
      <c r="AP24" s="314">
        <f>'RZIS '!V8</f>
        <v>52096219.409999996</v>
      </c>
      <c r="AQ24" s="315">
        <f t="shared" ref="AQ24:AQ30" si="47">(AP24/AX24)-1</f>
        <v>0.57692481596219092</v>
      </c>
      <c r="AR24" s="467">
        <f>'RZIS '!W8</f>
        <v>25202923.390000008</v>
      </c>
      <c r="AS24" s="468">
        <f t="shared" si="36"/>
        <v>0.78458398157406561</v>
      </c>
      <c r="AT24" s="485">
        <f>'RZIS '!X8</f>
        <v>64839975.340000004</v>
      </c>
      <c r="AU24" s="315">
        <f t="shared" si="37"/>
        <v>0.37530160084181419</v>
      </c>
      <c r="AV24" s="467">
        <f>'RZIS '!Y8</f>
        <v>42346104.310000002</v>
      </c>
      <c r="AW24" s="468">
        <f t="shared" ref="AW24:AW25" si="48">(AV24/BD24)-1</f>
        <v>0.2549510658189047</v>
      </c>
      <c r="AX24" s="314">
        <f>'RZIS '!Z8</f>
        <v>33036590.50999999</v>
      </c>
      <c r="AY24" s="315">
        <f t="shared" si="38"/>
        <v>0.18719264301852867</v>
      </c>
      <c r="AZ24" s="467">
        <f>'RZIS '!AA8</f>
        <v>14122576.269999996</v>
      </c>
      <c r="BA24" s="468">
        <f t="shared" ref="BA24:BA25" si="49">(AZ24/BH24)-1</f>
        <v>-0.22934432015397133</v>
      </c>
      <c r="BB24" s="485">
        <f>'RZIS '!AB8</f>
        <v>47146004.411186486</v>
      </c>
      <c r="BC24" s="315">
        <f t="shared" ref="BC24:BC30" si="50">(BB24/BJ24)-1</f>
        <v>-6.5009236480235599E-2</v>
      </c>
      <c r="BD24" s="467">
        <f>'RZIS '!AC8</f>
        <v>33743231.479999989</v>
      </c>
      <c r="BE24" s="468">
        <f t="shared" ref="BE24:BE37" si="51">(BD24/BL24)-1</f>
        <v>-0.13636300871553186</v>
      </c>
      <c r="BF24" s="314">
        <f>'RZIS '!AD8</f>
        <v>27827489.248924181</v>
      </c>
      <c r="BG24" s="315">
        <f t="shared" ref="BG24:BG30" si="52">(BF24/BN24)-1</f>
        <v>5.519193705930836E-2</v>
      </c>
      <c r="BH24" s="306">
        <f>'RZIS '!AE8</f>
        <v>18325403.470485784</v>
      </c>
      <c r="BI24" s="307">
        <f t="shared" ref="BI24:BI27" si="53">(BH24/BP24)-1</f>
        <v>0.36552670393643827</v>
      </c>
      <c r="BJ24" s="314">
        <f>'RZIS '!AF8</f>
        <v>50424032.247875661</v>
      </c>
      <c r="BK24" s="315">
        <f t="shared" ref="BK24:BK30" si="54">BJ24/BR24-1</f>
        <v>-0.18695540559205115</v>
      </c>
      <c r="BL24" s="285">
        <f>'RZIS '!AG8</f>
        <v>39071081.739811108</v>
      </c>
      <c r="BM24" s="308">
        <f>(BL24/BT24)-1</f>
        <v>8.0205817863965967E-2</v>
      </c>
      <c r="BN24" s="314">
        <f>'RZIS '!AH8</f>
        <v>26371969.185507625</v>
      </c>
      <c r="BO24" s="315">
        <f t="shared" ref="BO24:BO30" si="55">BN24/BV24-1</f>
        <v>-0.16616059912943471</v>
      </c>
      <c r="BP24" s="306">
        <f>'RZIS '!AI8</f>
        <v>13420025.707046725</v>
      </c>
      <c r="BQ24" s="307">
        <f t="shared" ref="BQ24:BQ27" si="56">(BP24/BX24)-1</f>
        <v>-3.2100051305326338E-2</v>
      </c>
      <c r="BR24" s="314">
        <f>R6</f>
        <v>62018778.053120136</v>
      </c>
      <c r="BS24" s="315">
        <f t="shared" ref="BS24:BS30" si="57">BR24/BZ24-1</f>
        <v>0.74947542420081481</v>
      </c>
      <c r="BT24" s="285">
        <f>'RZIS '!AK8</f>
        <v>36170034.537558347</v>
      </c>
      <c r="BU24" s="308">
        <f t="shared" si="39"/>
        <v>0.31259185923062582</v>
      </c>
      <c r="BV24" s="314">
        <f>'RZIS '!AL8</f>
        <v>31627156.449999988</v>
      </c>
      <c r="BW24" s="315">
        <f t="shared" si="40"/>
        <v>0.21878996586587585</v>
      </c>
      <c r="BX24" s="306">
        <f>'RZIS '!AM8</f>
        <v>13865096</v>
      </c>
      <c r="BY24" s="307">
        <f t="shared" si="41"/>
        <v>0.15414810576564308</v>
      </c>
      <c r="BZ24" s="314">
        <f>'RZIS '!AN8</f>
        <v>35449928.129999995</v>
      </c>
      <c r="CA24" s="285">
        <f>'RZIS '!AO8</f>
        <v>27556192.949999988</v>
      </c>
      <c r="CB24" s="314">
        <f>'RZIS '!AP8</f>
        <v>25949636.390000001</v>
      </c>
      <c r="CC24" s="323">
        <v>12013272.76</v>
      </c>
      <c r="CD24" s="318">
        <v>49820066.909999996</v>
      </c>
      <c r="CE24" s="285">
        <v>43876790.060000002</v>
      </c>
      <c r="CF24" s="286">
        <v>35090188.020000003</v>
      </c>
      <c r="CG24" s="323">
        <v>14338808.68</v>
      </c>
      <c r="CH24" s="286">
        <v>40389670.649999999</v>
      </c>
      <c r="CI24" s="285">
        <v>36014837.859999999</v>
      </c>
      <c r="CJ24" s="286">
        <v>29862212.93</v>
      </c>
      <c r="CK24" s="309">
        <v>14586163.91</v>
      </c>
      <c r="CL24" s="286">
        <v>39535359.600000001</v>
      </c>
      <c r="CM24" s="285">
        <v>30881396.780000001</v>
      </c>
      <c r="CN24" s="286">
        <v>25489620.649999999</v>
      </c>
      <c r="CO24" s="285">
        <v>12625470.779999999</v>
      </c>
    </row>
    <row r="25" spans="1:93" ht="27.9" customHeight="1">
      <c r="A25" s="499" t="s">
        <v>4</v>
      </c>
      <c r="B25" s="314">
        <f>'RZIS '!B11</f>
        <v>69730932.289999977</v>
      </c>
      <c r="C25" s="315">
        <f t="shared" si="21"/>
        <v>0.97180919686346856</v>
      </c>
      <c r="D25" s="467">
        <f>'RZIS '!C11</f>
        <v>12773407.126450827</v>
      </c>
      <c r="E25" s="520">
        <f t="shared" si="42"/>
        <v>-0.25872472692916837</v>
      </c>
      <c r="F25" s="314">
        <f>'RZIS '!D11</f>
        <v>120986221.9973838</v>
      </c>
      <c r="G25" s="315">
        <f t="shared" si="22"/>
        <v>1.1633533843764798</v>
      </c>
      <c r="H25" s="467">
        <f>'RZIS '!E11</f>
        <v>90815824.12999998</v>
      </c>
      <c r="I25" s="514">
        <f t="shared" si="43"/>
        <v>12.537770542489858</v>
      </c>
      <c r="J25" s="314">
        <f>'RZIS '!F11</f>
        <v>35363935.00999999</v>
      </c>
      <c r="K25" s="315">
        <f t="shared" si="23"/>
        <v>47.887864036855724</v>
      </c>
      <c r="L25" s="467">
        <f>'RZIS '!G11</f>
        <v>17231664.930000007</v>
      </c>
      <c r="M25" s="520">
        <f t="shared" si="24"/>
        <v>-16.361454812615669</v>
      </c>
      <c r="N25" s="314">
        <f>'RZIS '!H11</f>
        <v>55925316.164771833</v>
      </c>
      <c r="O25" s="315">
        <f t="shared" si="25"/>
        <v>0.69290886130087248</v>
      </c>
      <c r="P25" s="467">
        <f>'RZIS '!I11</f>
        <v>6708329.3992141485</v>
      </c>
      <c r="Q25" s="514">
        <f t="shared" si="44"/>
        <v>-0.77812168957037386</v>
      </c>
      <c r="R25" s="314">
        <f>'RZIS '!J11</f>
        <v>723368.37999998778</v>
      </c>
      <c r="S25" s="315">
        <f t="shared" si="26"/>
        <v>-0.97538792130590402</v>
      </c>
      <c r="T25" s="467">
        <f>'RZIS '!K11</f>
        <v>-1121746.9400000069</v>
      </c>
      <c r="U25" s="520">
        <f t="shared" si="27"/>
        <v>-1.0787429399119137</v>
      </c>
      <c r="V25" s="314">
        <f>'RZIS '!L11</f>
        <v>33035042.489999995</v>
      </c>
      <c r="W25" s="315">
        <f t="shared" si="28"/>
        <v>0.13015527555744222</v>
      </c>
      <c r="X25" s="467">
        <f>'RZIS '!M11</f>
        <v>30234272.949999996</v>
      </c>
      <c r="Y25" s="514">
        <f t="shared" si="45"/>
        <v>0.19871272348764379</v>
      </c>
      <c r="Z25" s="314">
        <f>'RZIS '!N11</f>
        <v>29390787.70999999</v>
      </c>
      <c r="AA25" s="315">
        <f t="shared" si="29"/>
        <v>0.44340870812293098</v>
      </c>
      <c r="AB25" s="467">
        <f>'RZIS '!O11</f>
        <v>14245682.739999996</v>
      </c>
      <c r="AC25" s="468">
        <f t="shared" si="30"/>
        <v>0.34148836237260083</v>
      </c>
      <c r="AD25" s="485">
        <f>'RZIS '!P11</f>
        <v>29230534.249999993</v>
      </c>
      <c r="AE25" s="315">
        <f t="shared" si="31"/>
        <v>-0.24349682756371227</v>
      </c>
      <c r="AF25" s="467">
        <f>'RZIS '!Q11</f>
        <v>25222284.170000009</v>
      </c>
      <c r="AG25" s="514">
        <f t="shared" si="46"/>
        <v>-0.3045572561755141</v>
      </c>
      <c r="AH25" s="314">
        <f>'RZIS '!R11</f>
        <v>20362069.000000007</v>
      </c>
      <c r="AI25" s="315">
        <f t="shared" si="32"/>
        <v>-0.37467051521213313</v>
      </c>
      <c r="AJ25" s="467">
        <f>'RZIS '!S11</f>
        <v>10619311.460000003</v>
      </c>
      <c r="AK25" s="468">
        <f t="shared" si="33"/>
        <v>-0.27956013271256974</v>
      </c>
      <c r="AL25" s="485">
        <f>'RZIS '!T11</f>
        <v>38639010.800000012</v>
      </c>
      <c r="AM25" s="315">
        <f t="shared" si="34"/>
        <v>0.68450483870729917</v>
      </c>
      <c r="AN25" s="467">
        <f>'RZIS '!U11</f>
        <v>36267952.169999987</v>
      </c>
      <c r="AO25" s="468">
        <f t="shared" si="35"/>
        <v>1.5397716840984295</v>
      </c>
      <c r="AP25" s="314">
        <f>'RZIS '!V11</f>
        <v>32562144.43</v>
      </c>
      <c r="AQ25" s="315">
        <f t="shared" si="47"/>
        <v>1.3236849149924601</v>
      </c>
      <c r="AR25" s="467">
        <f>'RZIS '!W11</f>
        <v>14740038.610000007</v>
      </c>
      <c r="AS25" s="468">
        <f t="shared" si="36"/>
        <v>1.8007505060647482</v>
      </c>
      <c r="AT25" s="485">
        <f>'RZIS '!X11</f>
        <v>22937904.309999999</v>
      </c>
      <c r="AU25" s="315">
        <f t="shared" si="37"/>
        <v>1.2757930444459378</v>
      </c>
      <c r="AV25" s="467">
        <f>'RZIS '!Y11</f>
        <v>14280004.930000003</v>
      </c>
      <c r="AW25" s="468">
        <f t="shared" si="48"/>
        <v>1.5074201489941612</v>
      </c>
      <c r="AX25" s="314">
        <f>'RZIS '!Z11</f>
        <v>14013149.639999991</v>
      </c>
      <c r="AY25" s="315">
        <f t="shared" si="38"/>
        <v>0.62177220338846451</v>
      </c>
      <c r="AZ25" s="467">
        <f>'RZIS '!AA11</f>
        <v>5262888.849999995</v>
      </c>
      <c r="BA25" s="468">
        <f t="shared" si="49"/>
        <v>-0.40391025668279412</v>
      </c>
      <c r="BB25" s="485">
        <f>'RZIS '!AB11</f>
        <v>10079081.824236982</v>
      </c>
      <c r="BC25" s="315">
        <f t="shared" si="50"/>
        <v>0.1571017101946206</v>
      </c>
      <c r="BD25" s="467">
        <f>'RZIS '!AC11</f>
        <v>5695098.579999987</v>
      </c>
      <c r="BE25" s="468">
        <f t="shared" si="51"/>
        <v>-0.38039804658573784</v>
      </c>
      <c r="BF25" s="314">
        <f>'RZIS '!AD11</f>
        <v>8640639.9189241808</v>
      </c>
      <c r="BG25" s="315">
        <f t="shared" si="52"/>
        <v>0.2998734821477298</v>
      </c>
      <c r="BH25" s="306">
        <f>'RZIS '!AE11</f>
        <v>8829020.980485782</v>
      </c>
      <c r="BI25" s="307">
        <f t="shared" si="53"/>
        <v>1.0755269086229706</v>
      </c>
      <c r="BJ25" s="314">
        <f>'RZIS '!AF11</f>
        <v>8710627.3678756505</v>
      </c>
      <c r="BK25" s="315">
        <f t="shared" si="54"/>
        <v>-0.60854278624962554</v>
      </c>
      <c r="BL25" s="285">
        <f>'RZIS '!AG11</f>
        <v>9191543.9398111105</v>
      </c>
      <c r="BM25" s="308">
        <f t="shared" ref="BM25:BM30" si="58">(BL25/BT25)-1</f>
        <v>-4.7387636171375314E-2</v>
      </c>
      <c r="BN25" s="314">
        <f>'RZIS '!AH11</f>
        <v>6647293.0155076254</v>
      </c>
      <c r="BO25" s="315">
        <f t="shared" si="55"/>
        <v>-0.52190479799497891</v>
      </c>
      <c r="BP25" s="306">
        <f>'RZIS '!AI11</f>
        <v>4253869.6770467246</v>
      </c>
      <c r="BQ25" s="307">
        <f t="shared" si="56"/>
        <v>-0.22395244850681917</v>
      </c>
      <c r="BR25" s="314">
        <f>R7</f>
        <v>22251799.333120141</v>
      </c>
      <c r="BS25" s="315">
        <f t="shared" si="57"/>
        <v>-20.003653618685892</v>
      </c>
      <c r="BT25" s="285">
        <f>'RZIS '!AK11</f>
        <v>9648776.6575583443</v>
      </c>
      <c r="BU25" s="308">
        <f t="shared" si="39"/>
        <v>17.849391318101453</v>
      </c>
      <c r="BV25" s="314">
        <f>'RZIS '!AL11</f>
        <v>13903701.579999987</v>
      </c>
      <c r="BW25" s="315">
        <f t="shared" si="40"/>
        <v>0.8175460695985417</v>
      </c>
      <c r="BX25" s="306">
        <f>'RZIS '!AM11</f>
        <v>5481454.9299999997</v>
      </c>
      <c r="BY25" s="307">
        <f t="shared" si="41"/>
        <v>0.70872490401689237</v>
      </c>
      <c r="BZ25" s="314">
        <f>'RZIS '!AN11</f>
        <v>-1170922.1700000055</v>
      </c>
      <c r="CA25" s="285">
        <f>'RZIS '!AO11</f>
        <v>511887.96999998763</v>
      </c>
      <c r="CB25" s="314">
        <f>'RZIS '!AP11</f>
        <v>7649710.6799999997</v>
      </c>
      <c r="CC25" s="323">
        <v>3207921.25</v>
      </c>
      <c r="CD25" s="318">
        <v>14947058.68</v>
      </c>
      <c r="CE25" s="285">
        <v>18137310.68</v>
      </c>
      <c r="CF25" s="286">
        <v>18161909.469999999</v>
      </c>
      <c r="CG25" s="323">
        <v>6367864.8300000001</v>
      </c>
      <c r="CH25" s="286">
        <v>8855755.5899999999</v>
      </c>
      <c r="CI25" s="285">
        <v>12578971.74</v>
      </c>
      <c r="CJ25" s="286">
        <v>13877210.23</v>
      </c>
      <c r="CK25" s="309">
        <v>6946021.0899999999</v>
      </c>
      <c r="CL25" s="286">
        <v>7845359.2599999998</v>
      </c>
      <c r="CM25" s="285">
        <v>6941755.6699999999</v>
      </c>
      <c r="CN25" s="286">
        <v>8419122.2100000009</v>
      </c>
      <c r="CO25" s="285">
        <v>4263335.24</v>
      </c>
    </row>
    <row r="26" spans="1:93" ht="27.9" customHeight="1">
      <c r="A26" s="499" t="s">
        <v>136</v>
      </c>
      <c r="B26" s="314">
        <f>'RZIS '!B14</f>
        <v>68807723.609999985</v>
      </c>
      <c r="C26" s="315">
        <f t="shared" si="21"/>
        <v>1.0084796463882362</v>
      </c>
      <c r="D26" s="467">
        <f>'RZIS '!C14</f>
        <v>12180705.001877828</v>
      </c>
      <c r="E26" s="520">
        <f t="shared" si="42"/>
        <v>-0.27989358027942446</v>
      </c>
      <c r="F26" s="314">
        <f>'RZIS '!D14</f>
        <v>116033150.93991117</v>
      </c>
      <c r="G26" s="315">
        <f t="shared" si="22"/>
        <v>1.1832762272985771</v>
      </c>
      <c r="H26" s="467">
        <f>'RZIS '!E14</f>
        <v>89319665.389999971</v>
      </c>
      <c r="I26" s="514">
        <f t="shared" si="43"/>
        <v>10.703503858111079</v>
      </c>
      <c r="J26" s="314">
        <f>'RZIS '!F14</f>
        <v>34258611.349999987</v>
      </c>
      <c r="K26" s="315">
        <f t="shared" si="23"/>
        <v>9.082971933463341</v>
      </c>
      <c r="L26" s="467">
        <f>'RZIS '!G14</f>
        <v>16915145.690000005</v>
      </c>
      <c r="M26" s="520">
        <f t="shared" si="24"/>
        <v>3.9161518619857194</v>
      </c>
      <c r="N26" s="314">
        <f>'RZIS '!H14</f>
        <v>53146344.694771826</v>
      </c>
      <c r="O26" s="315">
        <f t="shared" si="25"/>
        <v>0.83753679601203213</v>
      </c>
      <c r="P26" s="467">
        <f>'RZIS '!I14</f>
        <v>7631873.8792141499</v>
      </c>
      <c r="Q26" s="514">
        <f t="shared" si="44"/>
        <v>-0.77256040617127852</v>
      </c>
      <c r="R26" s="314">
        <f>'RZIS '!J14</f>
        <v>3397670.0099999877</v>
      </c>
      <c r="S26" s="315">
        <f t="shared" si="26"/>
        <v>-0.88653338108157165</v>
      </c>
      <c r="T26" s="467">
        <f>'RZIS '!K14</f>
        <v>3440728.8799999929</v>
      </c>
      <c r="U26" s="520">
        <f t="shared" si="27"/>
        <v>-0.76238447133904375</v>
      </c>
      <c r="V26" s="314">
        <f>'RZIS '!L14</f>
        <v>28922601.609999992</v>
      </c>
      <c r="W26" s="315">
        <f t="shared" si="28"/>
        <v>-4.8760570062807984E-2</v>
      </c>
      <c r="X26" s="467">
        <f>'RZIS '!M14</f>
        <v>33555608.109999999</v>
      </c>
      <c r="Y26" s="514">
        <f t="shared" si="45"/>
        <v>0.24239051856433025</v>
      </c>
      <c r="Z26" s="314">
        <f>'RZIS '!N14</f>
        <v>29944225.379999988</v>
      </c>
      <c r="AA26" s="315">
        <f t="shared" si="29"/>
        <v>0.44438708111637881</v>
      </c>
      <c r="AB26" s="467">
        <f>'RZIS '!O14</f>
        <v>14480235.779999997</v>
      </c>
      <c r="AC26" s="468">
        <f t="shared" si="30"/>
        <v>0.24800807128148139</v>
      </c>
      <c r="AD26" s="485">
        <f>'RZIS '!P14</f>
        <v>30405175.289999995</v>
      </c>
      <c r="AE26" s="315">
        <f t="shared" si="31"/>
        <v>-0.27241820484135182</v>
      </c>
      <c r="AF26" s="467">
        <f>'RZIS '!Q14</f>
        <v>27008905.500000007</v>
      </c>
      <c r="AG26" s="514">
        <f t="shared" si="46"/>
        <v>-0.30112138091880736</v>
      </c>
      <c r="AH26" s="314">
        <f>'RZIS '!R14</f>
        <v>20731440.88000001</v>
      </c>
      <c r="AI26" s="315">
        <f t="shared" si="32"/>
        <v>-0.38951983648968547</v>
      </c>
      <c r="AJ26" s="467">
        <f>'RZIS '!S14</f>
        <v>11602677.990000002</v>
      </c>
      <c r="AK26" s="468">
        <f t="shared" si="33"/>
        <v>-0.28781553870510534</v>
      </c>
      <c r="AL26" s="485">
        <f>'RZIS '!T14</f>
        <v>41789356.870000012</v>
      </c>
      <c r="AM26" s="315">
        <f t="shared" si="34"/>
        <v>0.82901373921906685</v>
      </c>
      <c r="AN26" s="467">
        <f>'RZIS '!U14</f>
        <v>38646060.649999984</v>
      </c>
      <c r="AO26" s="468">
        <f t="shared" si="35"/>
        <v>1.4174968124651421</v>
      </c>
      <c r="AP26" s="314">
        <f>'RZIS '!V14</f>
        <v>33959237.530000001</v>
      </c>
      <c r="AQ26" s="315">
        <f t="shared" si="47"/>
        <v>1.2454113964737945</v>
      </c>
      <c r="AR26" s="467">
        <f>'RZIS '!W14</f>
        <v>16291675.290000008</v>
      </c>
      <c r="AS26" s="468">
        <f t="shared" si="36"/>
        <v>1.7964227098252081</v>
      </c>
      <c r="AT26" s="485">
        <f>'RZIS '!X14</f>
        <v>22848027.859999999</v>
      </c>
      <c r="AU26" s="315">
        <f t="shared" si="37"/>
        <v>0.73912175020659121</v>
      </c>
      <c r="AV26" s="467">
        <f>'RZIS '!Y14</f>
        <v>15985982.050000003</v>
      </c>
      <c r="AW26" s="468">
        <f>(AV26/BD26)-1</f>
        <v>1.5345268752892474</v>
      </c>
      <c r="AX26" s="314">
        <f>'RZIS '!Z14</f>
        <v>15123837.69999999</v>
      </c>
      <c r="AY26" s="315">
        <f t="shared" si="38"/>
        <v>0.56622581476419187</v>
      </c>
      <c r="AZ26" s="467">
        <f>'RZIS '!AA14</f>
        <v>5825898.6499999948</v>
      </c>
      <c r="BA26" s="468">
        <f>(AZ26/BH26)-1</f>
        <v>-0.362308985129427</v>
      </c>
      <c r="BB26" s="485">
        <f>'RZIS '!AB14</f>
        <v>13137681.624236986</v>
      </c>
      <c r="BC26" s="315">
        <f t="shared" si="50"/>
        <v>1.3556084820501191</v>
      </c>
      <c r="BD26" s="467">
        <f>'RZIS '!AC14</f>
        <v>6307284.4899999872</v>
      </c>
      <c r="BE26" s="468">
        <f t="shared" si="51"/>
        <v>-0.12212921047642533</v>
      </c>
      <c r="BF26" s="314">
        <f>'RZIS '!AD14</f>
        <v>9656230.6389241889</v>
      </c>
      <c r="BG26" s="315">
        <f t="shared" si="52"/>
        <v>1.0925834153638183</v>
      </c>
      <c r="BH26" s="306">
        <f>'RZIS '!AE14</f>
        <v>9135927.1404857896</v>
      </c>
      <c r="BI26" s="307">
        <f>(BH26/BP26)-1</f>
        <v>1.392894581163632</v>
      </c>
      <c r="BJ26" s="314">
        <f>'RZIS '!AF14</f>
        <v>5577192.3578756507</v>
      </c>
      <c r="BK26" s="315">
        <f t="shared" si="54"/>
        <v>-0.7075448284983854</v>
      </c>
      <c r="BL26" s="285">
        <f>'RZIS '!AG14</f>
        <v>7184752.6598111158</v>
      </c>
      <c r="BM26" s="308">
        <f t="shared" si="58"/>
        <v>-0.36210114975813534</v>
      </c>
      <c r="BN26" s="314">
        <f>'RZIS '!AH14</f>
        <v>4614502.1355076302</v>
      </c>
      <c r="BO26" s="315">
        <f t="shared" si="55"/>
        <v>-0.6874222033032853</v>
      </c>
      <c r="BP26" s="306">
        <f>'RZIS '!AI14</f>
        <v>3817939.6670467253</v>
      </c>
      <c r="BQ26" s="307">
        <f t="shared" si="56"/>
        <v>-0.32348748960260199</v>
      </c>
      <c r="BR26" s="314">
        <f>R8</f>
        <v>19070247.003120139</v>
      </c>
      <c r="BS26" s="315">
        <f t="shared" si="57"/>
        <v>2.1074616659597254</v>
      </c>
      <c r="BT26" s="285">
        <f>'RZIS '!AK14</f>
        <v>11263153.487558344</v>
      </c>
      <c r="BU26" s="308">
        <f t="shared" si="39"/>
        <v>0.6205336724874837</v>
      </c>
      <c r="BV26" s="314">
        <f>'RZIS '!AL14</f>
        <v>14762731.659999987</v>
      </c>
      <c r="BW26" s="315">
        <f t="shared" si="40"/>
        <v>2.5218576312967089E-2</v>
      </c>
      <c r="BX26" s="306">
        <f>'RZIS '!AM14</f>
        <v>5643561.0699999994</v>
      </c>
      <c r="BY26" s="307">
        <f t="shared" si="41"/>
        <v>0.87323390283729974</v>
      </c>
      <c r="BZ26" s="314">
        <f>'RZIS '!AN14</f>
        <v>6136921.0799999945</v>
      </c>
      <c r="CA26" s="285">
        <f>'RZIS '!AO14</f>
        <v>6950274.2699999874</v>
      </c>
      <c r="CB26" s="314">
        <f>'RZIS '!AP14</f>
        <v>14399594.390000001</v>
      </c>
      <c r="CC26" s="323">
        <v>3012736.99</v>
      </c>
      <c r="CD26" s="318">
        <v>16844199.199999999</v>
      </c>
      <c r="CE26" s="285">
        <v>18365857.190000001</v>
      </c>
      <c r="CF26" s="286">
        <v>19451682.870000001</v>
      </c>
      <c r="CG26" s="323">
        <v>7073010.3499999996</v>
      </c>
      <c r="CH26" s="286">
        <v>8637247.9000000004</v>
      </c>
      <c r="CI26" s="285">
        <v>13181086.890000001</v>
      </c>
      <c r="CJ26" s="286">
        <v>13822560.07</v>
      </c>
      <c r="CK26" s="309">
        <v>5842310.7300000004</v>
      </c>
      <c r="CL26" s="286">
        <v>10787589.09</v>
      </c>
      <c r="CM26" s="285">
        <v>9099741.9800000004</v>
      </c>
      <c r="CN26" s="286">
        <v>9871605.9600000009</v>
      </c>
      <c r="CO26" s="285">
        <v>5160072.24</v>
      </c>
    </row>
    <row r="27" spans="1:93" ht="27.9" customHeight="1">
      <c r="A27" s="499" t="s">
        <v>5</v>
      </c>
      <c r="B27" s="314">
        <v>7863113.4100000001</v>
      </c>
      <c r="C27" s="315">
        <f t="shared" si="21"/>
        <v>0.12334831320918793</v>
      </c>
      <c r="D27" s="467">
        <v>4000572.6</v>
      </c>
      <c r="E27" s="520">
        <f t="shared" si="42"/>
        <v>0.12516093158551955</v>
      </c>
      <c r="F27" s="314">
        <v>14361604.460000001</v>
      </c>
      <c r="G27" s="315">
        <f t="shared" si="22"/>
        <v>6.777551449528163E-2</v>
      </c>
      <c r="H27" s="467">
        <v>10474672.539999999</v>
      </c>
      <c r="I27" s="514">
        <f t="shared" si="43"/>
        <v>4.5459794511832019E-2</v>
      </c>
      <c r="J27" s="314">
        <v>6999710.8799999999</v>
      </c>
      <c r="K27" s="315">
        <f t="shared" si="23"/>
        <v>4.681556297921019E-2</v>
      </c>
      <c r="L27" s="467">
        <v>3555555.91</v>
      </c>
      <c r="M27" s="520">
        <f t="shared" si="24"/>
        <v>3.3354781513871057E-2</v>
      </c>
      <c r="N27" s="314">
        <v>13450022.279999999</v>
      </c>
      <c r="O27" s="315">
        <f t="shared" si="25"/>
        <v>-1.0732138830532367E-2</v>
      </c>
      <c r="P27" s="467">
        <v>10019201.689999999</v>
      </c>
      <c r="Q27" s="514">
        <f t="shared" si="44"/>
        <v>-2.3537832355243204E-2</v>
      </c>
      <c r="R27" s="314">
        <v>6686670.6299999999</v>
      </c>
      <c r="S27" s="315">
        <f t="shared" si="26"/>
        <v>-4.2192834987372474E-2</v>
      </c>
      <c r="T27" s="467">
        <v>3440789.14</v>
      </c>
      <c r="U27" s="520">
        <f t="shared" si="27"/>
        <v>-2.7366141231376484E-2</v>
      </c>
      <c r="V27" s="314">
        <v>13595935.749999998</v>
      </c>
      <c r="W27" s="315">
        <f t="shared" si="28"/>
        <v>3.5238335544649058E-2</v>
      </c>
      <c r="X27" s="467">
        <v>10260716.720000001</v>
      </c>
      <c r="Y27" s="514">
        <f t="shared" si="45"/>
        <v>6.3895885802582209E-2</v>
      </c>
      <c r="Z27" s="314">
        <v>6981228.4500000002</v>
      </c>
      <c r="AA27" s="315">
        <f t="shared" si="29"/>
        <v>0.10095827798942558</v>
      </c>
      <c r="AB27" s="467">
        <v>3537599.59</v>
      </c>
      <c r="AC27" s="468">
        <f t="shared" si="30"/>
        <v>0.13961355550379673</v>
      </c>
      <c r="AD27" s="485">
        <v>13133145.560000001</v>
      </c>
      <c r="AE27" s="315">
        <f t="shared" si="31"/>
        <v>6.5371220987112899E-2</v>
      </c>
      <c r="AF27" s="467">
        <v>9644474.4800000023</v>
      </c>
      <c r="AG27" s="514">
        <f t="shared" si="46"/>
        <v>4.2984734610310271E-2</v>
      </c>
      <c r="AH27" s="314">
        <v>6341047.2400000002</v>
      </c>
      <c r="AI27" s="315">
        <f t="shared" si="32"/>
        <v>3.5872138469664305E-2</v>
      </c>
      <c r="AJ27" s="467">
        <v>3104209.8199999994</v>
      </c>
      <c r="AK27" s="468">
        <f t="shared" si="33"/>
        <v>8.106911500924463E-3</v>
      </c>
      <c r="AL27" s="485">
        <v>12327295.219999999</v>
      </c>
      <c r="AM27" s="315">
        <f t="shared" si="34"/>
        <v>-1.5032724791945062E-2</v>
      </c>
      <c r="AN27" s="467">
        <v>9246994.8599999994</v>
      </c>
      <c r="AO27" s="468">
        <f t="shared" si="35"/>
        <v>-1.9586172723409456E-2</v>
      </c>
      <c r="AP27" s="314">
        <v>6121457.4699999997</v>
      </c>
      <c r="AQ27" s="315">
        <f t="shared" si="47"/>
        <v>-4.5125775677495095E-2</v>
      </c>
      <c r="AR27" s="467">
        <v>3079246.64</v>
      </c>
      <c r="AS27" s="468">
        <f t="shared" si="36"/>
        <v>-2.66906511677234E-2</v>
      </c>
      <c r="AT27" s="485">
        <v>12515436.33</v>
      </c>
      <c r="AU27" s="315">
        <f t="shared" si="37"/>
        <v>-2.4253930531063839E-2</v>
      </c>
      <c r="AV27" s="467">
        <v>9431726.2799999993</v>
      </c>
      <c r="AW27" s="468">
        <f t="shared" ref="AW27" si="59">(AV27/BD27)-1</f>
        <v>-2.1667558845237855E-2</v>
      </c>
      <c r="AX27" s="314">
        <v>6410747.4199999999</v>
      </c>
      <c r="AY27" s="315">
        <f t="shared" si="38"/>
        <v>0</v>
      </c>
      <c r="AZ27" s="467">
        <v>3163687.52</v>
      </c>
      <c r="BA27" s="468">
        <f t="shared" ref="BA27" si="60">(AZ27/BH27)-1</f>
        <v>7.1515908209478507E-3</v>
      </c>
      <c r="BB27" s="485">
        <v>12826530.1</v>
      </c>
      <c r="BC27" s="315">
        <f t="shared" si="50"/>
        <v>6.1269913467117965E-2</v>
      </c>
      <c r="BD27" s="467">
        <v>9640614.8699999992</v>
      </c>
      <c r="BE27" s="468">
        <f t="shared" si="51"/>
        <v>7.3773744918048001E-2</v>
      </c>
      <c r="BF27" s="314">
        <v>6410747.4199999999</v>
      </c>
      <c r="BG27" s="315">
        <f t="shared" si="52"/>
        <v>9.6288155689106647E-2</v>
      </c>
      <c r="BH27" s="306">
        <v>3141222.78</v>
      </c>
      <c r="BI27" s="307">
        <f t="shared" si="53"/>
        <v>7.4148586889508206E-2</v>
      </c>
      <c r="BJ27" s="314">
        <v>12086020.66</v>
      </c>
      <c r="BK27" s="315">
        <f t="shared" si="54"/>
        <v>8.6995324924382222E-2</v>
      </c>
      <c r="BL27" s="285">
        <f>PP!AG10</f>
        <v>8978255.3499999996</v>
      </c>
      <c r="BM27" s="308">
        <f t="shared" si="58"/>
        <v>9.2980764420424578E-2</v>
      </c>
      <c r="BN27" s="314">
        <v>5847684.6500000004</v>
      </c>
      <c r="BO27" s="315">
        <f t="shared" si="55"/>
        <v>8.2464486873112808E-2</v>
      </c>
      <c r="BP27" s="306">
        <f>PP!AI10</f>
        <v>2924383.85</v>
      </c>
      <c r="BQ27" s="307">
        <f t="shared" si="56"/>
        <v>0.10073459270954066</v>
      </c>
      <c r="BR27" s="314">
        <f>R9</f>
        <v>11118742.079999998</v>
      </c>
      <c r="BS27" s="315">
        <f t="shared" si="57"/>
        <v>8.4491706634000074E-2</v>
      </c>
      <c r="BT27" s="285">
        <f>PP!AK10</f>
        <v>8214467.8499999987</v>
      </c>
      <c r="BU27" s="308">
        <f t="shared" si="39"/>
        <v>0.12252908595343581</v>
      </c>
      <c r="BV27" s="314">
        <f>PP!AL10</f>
        <v>5402195.3799999999</v>
      </c>
      <c r="BW27" s="315">
        <f t="shared" si="40"/>
        <v>0.1697048032980828</v>
      </c>
      <c r="BX27" s="306">
        <f>PP!AM10</f>
        <v>2656756.56</v>
      </c>
      <c r="BY27" s="307">
        <f t="shared" si="41"/>
        <v>0.20961099179570009</v>
      </c>
      <c r="BZ27" s="314">
        <f>PP!AN10</f>
        <v>10252491.57</v>
      </c>
      <c r="CA27" s="285">
        <f>PP!AO10</f>
        <v>7317821.8300000001</v>
      </c>
      <c r="CB27" s="314">
        <f>PP!AP10</f>
        <v>4618426.26</v>
      </c>
      <c r="CC27" s="323">
        <v>2196372.7000000002</v>
      </c>
      <c r="CD27" s="318">
        <v>8450648.25</v>
      </c>
      <c r="CE27" s="285">
        <v>6264847.0999999996</v>
      </c>
      <c r="CF27" s="286">
        <v>4044210.84</v>
      </c>
      <c r="CG27" s="323">
        <v>1976224.55</v>
      </c>
      <c r="CH27" s="286">
        <v>7539705.6100000003</v>
      </c>
      <c r="CI27" s="285">
        <v>5687527.5800000001</v>
      </c>
      <c r="CJ27" s="286">
        <v>3691139.03</v>
      </c>
      <c r="CK27" s="309">
        <v>1816935.48</v>
      </c>
      <c r="CL27" s="286">
        <v>7339447.5700000003</v>
      </c>
      <c r="CM27" s="285">
        <v>5467993.4000000004</v>
      </c>
      <c r="CN27" s="286">
        <v>3618135.23</v>
      </c>
      <c r="CO27" s="285">
        <v>1799243.09</v>
      </c>
    </row>
    <row r="28" spans="1:93" ht="27.9" customHeight="1">
      <c r="A28" s="499" t="s">
        <v>1</v>
      </c>
      <c r="B28" s="314">
        <f>B26+B27</f>
        <v>76670837.019999981</v>
      </c>
      <c r="C28" s="315">
        <f t="shared" si="21"/>
        <v>0.85831204169157038</v>
      </c>
      <c r="D28" s="467">
        <f>D26+D27</f>
        <v>16181277.601877827</v>
      </c>
      <c r="E28" s="520">
        <f>(D28/L28)-1</f>
        <v>-0.20953966707824889</v>
      </c>
      <c r="F28" s="314">
        <f>F26+F27</f>
        <v>130394755.39991117</v>
      </c>
      <c r="G28" s="315">
        <f t="shared" si="22"/>
        <v>0.9579860182058817</v>
      </c>
      <c r="H28" s="467">
        <f>H26+H27</f>
        <v>99794337.929999977</v>
      </c>
      <c r="I28" s="514">
        <f t="shared" si="43"/>
        <v>4.6537256066171242</v>
      </c>
      <c r="J28" s="314">
        <f>J26+J27</f>
        <v>41258322.229999989</v>
      </c>
      <c r="K28" s="315">
        <f t="shared" si="23"/>
        <v>3.0913257200324047</v>
      </c>
      <c r="L28" s="467">
        <f>L26+L27</f>
        <v>20470701.600000005</v>
      </c>
      <c r="M28" s="520">
        <f t="shared" si="24"/>
        <v>1.9747363213327787</v>
      </c>
      <c r="N28" s="314">
        <f>N26+N27</f>
        <v>66596366.974771827</v>
      </c>
      <c r="O28" s="315">
        <f t="shared" si="25"/>
        <v>0.5662901668255278</v>
      </c>
      <c r="P28" s="467">
        <f>P26+P27</f>
        <v>17651075.56921415</v>
      </c>
      <c r="Q28" s="514">
        <f t="shared" si="44"/>
        <v>-0.59715755171851204</v>
      </c>
      <c r="R28" s="314">
        <f>R26+R27</f>
        <v>10084340.639999988</v>
      </c>
      <c r="S28" s="315">
        <f t="shared" si="26"/>
        <v>-0.7269000216916226</v>
      </c>
      <c r="T28" s="467">
        <f>T26+T27</f>
        <v>6881518.019999993</v>
      </c>
      <c r="U28" s="520">
        <f t="shared" si="27"/>
        <v>-0.61807187829799815</v>
      </c>
      <c r="V28" s="314">
        <f>V26+V27</f>
        <v>42518537.359999992</v>
      </c>
      <c r="W28" s="315">
        <f t="shared" si="28"/>
        <v>-2.3422664680004535E-2</v>
      </c>
      <c r="X28" s="467">
        <f>X26+X27</f>
        <v>43816324.829999998</v>
      </c>
      <c r="Y28" s="514">
        <f t="shared" si="45"/>
        <v>0.195423855969312</v>
      </c>
      <c r="Z28" s="314">
        <f>Z26+Z27</f>
        <v>36925453.829999991</v>
      </c>
      <c r="AA28" s="315">
        <f t="shared" si="29"/>
        <v>0.36394754949475905</v>
      </c>
      <c r="AB28" s="467">
        <f>AB26+AB27</f>
        <v>18017835.369999997</v>
      </c>
      <c r="AC28" s="468">
        <f t="shared" si="30"/>
        <v>0.22512904176427484</v>
      </c>
      <c r="AD28" s="485">
        <f>AD26+AD27</f>
        <v>43538320.849999994</v>
      </c>
      <c r="AE28" s="315">
        <f t="shared" si="31"/>
        <v>-0.19547275804141517</v>
      </c>
      <c r="AF28" s="467">
        <f>AF26+AF27</f>
        <v>36653379.980000012</v>
      </c>
      <c r="AG28" s="514">
        <f t="shared" si="46"/>
        <v>-0.23468278251015218</v>
      </c>
      <c r="AH28" s="314">
        <f>AH26+AH27</f>
        <v>27072488.120000012</v>
      </c>
      <c r="AI28" s="315">
        <f t="shared" si="32"/>
        <v>-0.32455043207209822</v>
      </c>
      <c r="AJ28" s="467">
        <f>AJ26+AJ27</f>
        <v>14706887.810000002</v>
      </c>
      <c r="AK28" s="468">
        <f t="shared" si="33"/>
        <v>-0.24077502025222419</v>
      </c>
      <c r="AL28" s="485">
        <f>AL26+AL27</f>
        <v>54116652.090000011</v>
      </c>
      <c r="AM28" s="315">
        <f t="shared" si="34"/>
        <v>0.5302983836437325</v>
      </c>
      <c r="AN28" s="467">
        <f>AN26+AN27</f>
        <v>47893055.509999983</v>
      </c>
      <c r="AO28" s="468">
        <f t="shared" si="35"/>
        <v>0.88423971540631729</v>
      </c>
      <c r="AP28" s="314">
        <f>AP26+AP27</f>
        <v>40080695</v>
      </c>
      <c r="AQ28" s="315">
        <f t="shared" si="47"/>
        <v>0.86122438749820773</v>
      </c>
      <c r="AR28" s="467">
        <f>AR26+AR27</f>
        <v>19370921.930000007</v>
      </c>
      <c r="AS28" s="468">
        <f t="shared" si="36"/>
        <v>1.1548179820161866</v>
      </c>
      <c r="AT28" s="485">
        <f>AT26+AT27</f>
        <v>35363464.189999998</v>
      </c>
      <c r="AU28" s="315">
        <f t="shared" si="37"/>
        <v>0.36200800415554402</v>
      </c>
      <c r="AV28" s="467">
        <f>AV26+AV27</f>
        <v>25417708.330000002</v>
      </c>
      <c r="AW28" s="468">
        <f>(AV28/BD28)-1</f>
        <v>0.59379663466850618</v>
      </c>
      <c r="AX28" s="314">
        <f>AX26+AX27</f>
        <v>21534585.11999999</v>
      </c>
      <c r="AY28" s="315">
        <f t="shared" si="38"/>
        <v>0.34030089796748619</v>
      </c>
      <c r="AZ28" s="467">
        <f>AZ26+AZ27</f>
        <v>8989586.1699999943</v>
      </c>
      <c r="BA28" s="468">
        <f>(AZ28/BH28)-1</f>
        <v>-0.26777906694778808</v>
      </c>
      <c r="BB28" s="485">
        <f>BB26+BB27</f>
        <v>25964211.724236988</v>
      </c>
      <c r="BC28" s="315">
        <f t="shared" si="50"/>
        <v>0.46995972352031901</v>
      </c>
      <c r="BD28" s="467">
        <f>BD26+BD27</f>
        <v>15947899.359999986</v>
      </c>
      <c r="BE28" s="468">
        <f t="shared" si="51"/>
        <v>-1.3308701553606528E-2</v>
      </c>
      <c r="BF28" s="314">
        <f>BF26+BF27</f>
        <v>16066978.058924189</v>
      </c>
      <c r="BG28" s="315">
        <f t="shared" si="52"/>
        <v>0.53571890736842853</v>
      </c>
      <c r="BH28" s="306">
        <f>BH26+BH27</f>
        <v>12277149.920485789</v>
      </c>
      <c r="BI28" s="307">
        <f>(BH28/BP28)-1</f>
        <v>0.82090786498827484</v>
      </c>
      <c r="BJ28" s="314">
        <f>BJ26+BJ27</f>
        <v>17663213.017875649</v>
      </c>
      <c r="BK28" s="315">
        <f t="shared" si="54"/>
        <v>-0.41491207376162675</v>
      </c>
      <c r="BL28" s="306">
        <f t="shared" ref="BL28" si="61">BL26+BL27</f>
        <v>16163008.009811115</v>
      </c>
      <c r="BM28" s="308">
        <f t="shared" si="58"/>
        <v>-0.17017546805654959</v>
      </c>
      <c r="BN28" s="314">
        <f>BN26+BN27</f>
        <v>10462186.785507631</v>
      </c>
      <c r="BO28" s="315">
        <f t="shared" si="55"/>
        <v>-0.48116912276675228</v>
      </c>
      <c r="BP28" s="306">
        <f>BP26+BP27</f>
        <v>6742323.5170467254</v>
      </c>
      <c r="BQ28" s="307">
        <f>(BP28/BX28)-1</f>
        <v>-0.18770295094758604</v>
      </c>
      <c r="BR28" s="314">
        <f>BR26+BR27</f>
        <v>30188989.083120137</v>
      </c>
      <c r="BS28" s="315">
        <f t="shared" si="57"/>
        <v>0.84198114525599843</v>
      </c>
      <c r="BT28" s="306">
        <f t="shared" ref="BT28" si="62">BT26+BT27</f>
        <v>19477621.337558344</v>
      </c>
      <c r="BU28" s="308">
        <f t="shared" si="39"/>
        <v>0.36511705563564023</v>
      </c>
      <c r="BV28" s="314">
        <f>BV26+BV27</f>
        <v>20164927.039999988</v>
      </c>
      <c r="BW28" s="315">
        <f t="shared" si="40"/>
        <v>6.0306296386316571E-2</v>
      </c>
      <c r="BX28" s="306">
        <f>BX26+BX27</f>
        <v>8300317.629999999</v>
      </c>
      <c r="BY28" s="307">
        <f t="shared" si="41"/>
        <v>0.59342346849294292</v>
      </c>
      <c r="BZ28" s="314">
        <f>BZ26+BZ27</f>
        <v>16389412.649999995</v>
      </c>
      <c r="CA28" s="306">
        <f t="shared" ref="CA28" si="63">CA26+CA27</f>
        <v>14268096.099999987</v>
      </c>
      <c r="CB28" s="314">
        <f>CB26+CB27</f>
        <v>19018020.649999999</v>
      </c>
      <c r="CC28" s="323">
        <f>CC26+CC27</f>
        <v>5209109.6900000004</v>
      </c>
      <c r="CD28" s="294">
        <f t="shared" ref="CD28:CO28" si="64">CD26+CD27</f>
        <v>25294847.449999999</v>
      </c>
      <c r="CE28" s="306">
        <f t="shared" si="64"/>
        <v>24630704.289999999</v>
      </c>
      <c r="CF28" s="294">
        <f t="shared" si="64"/>
        <v>23495893.710000001</v>
      </c>
      <c r="CG28" s="323">
        <f t="shared" si="64"/>
        <v>9049234.9000000004</v>
      </c>
      <c r="CH28" s="294">
        <f t="shared" si="64"/>
        <v>16176953.510000002</v>
      </c>
      <c r="CI28" s="306">
        <f t="shared" si="64"/>
        <v>18868614.469999999</v>
      </c>
      <c r="CJ28" s="294">
        <f t="shared" si="64"/>
        <v>17513699.100000001</v>
      </c>
      <c r="CK28" s="310">
        <f t="shared" si="64"/>
        <v>7659246.2100000009</v>
      </c>
      <c r="CL28" s="294">
        <f t="shared" si="64"/>
        <v>18127036.66</v>
      </c>
      <c r="CM28" s="306">
        <f t="shared" si="64"/>
        <v>14567735.380000001</v>
      </c>
      <c r="CN28" s="294">
        <f t="shared" si="64"/>
        <v>13489741.190000001</v>
      </c>
      <c r="CO28" s="306">
        <f t="shared" si="64"/>
        <v>6959315.3300000001</v>
      </c>
    </row>
    <row r="29" spans="1:93" ht="27.9" customHeight="1">
      <c r="A29" s="499" t="s">
        <v>6</v>
      </c>
      <c r="B29" s="314">
        <f>'RZIS '!B18</f>
        <v>72488741.709999979</v>
      </c>
      <c r="C29" s="315">
        <f t="shared" si="21"/>
        <v>0.96652025893009985</v>
      </c>
      <c r="D29" s="467">
        <f>'RZIS '!C18</f>
        <v>14450480.006030828</v>
      </c>
      <c r="E29" s="520">
        <f>(D29/L29)-1</f>
        <v>-0.20523123350178385</v>
      </c>
      <c r="F29" s="314">
        <f>'RZIS '!D18</f>
        <v>121088665.15654226</v>
      </c>
      <c r="G29" s="315">
        <f t="shared" si="22"/>
        <v>1.2550005737109799</v>
      </c>
      <c r="H29" s="467">
        <f>'RZIS '!E18</f>
        <v>92142294.219999984</v>
      </c>
      <c r="I29" s="514">
        <f t="shared" si="43"/>
        <v>9.3235216866743222</v>
      </c>
      <c r="J29" s="314">
        <f>'RZIS '!F18</f>
        <v>36861426.359999985</v>
      </c>
      <c r="K29" s="315">
        <f t="shared" si="23"/>
        <v>10.364070423163209</v>
      </c>
      <c r="L29" s="467">
        <f>'RZIS '!G18</f>
        <v>18181992.820000008</v>
      </c>
      <c r="M29" s="520">
        <f t="shared" si="24"/>
        <v>6.017660101849307</v>
      </c>
      <c r="N29" s="314">
        <f>'RZIS '!H18</f>
        <v>53697842.283592254</v>
      </c>
      <c r="O29" s="315">
        <f t="shared" si="25"/>
        <v>1.1570897726294231</v>
      </c>
      <c r="P29" s="467">
        <f>'RZIS '!I18</f>
        <v>8925471.0763031505</v>
      </c>
      <c r="Q29" s="514">
        <f t="shared" si="44"/>
        <v>-0.71017385781185971</v>
      </c>
      <c r="R29" s="314">
        <f>'RZIS '!J18</f>
        <v>3243681.6199999875</v>
      </c>
      <c r="S29" s="315">
        <f t="shared" si="26"/>
        <v>-0.88524694338809606</v>
      </c>
      <c r="T29" s="467">
        <f>'RZIS '!K18</f>
        <v>2590891.0599999926</v>
      </c>
      <c r="U29" s="520">
        <f t="shared" si="27"/>
        <v>-0.81275501065587719</v>
      </c>
      <c r="V29" s="314">
        <f>'RZIS '!L18</f>
        <v>24893652.069999993</v>
      </c>
      <c r="W29" s="315">
        <f t="shared" si="28"/>
        <v>-0.15414854527598443</v>
      </c>
      <c r="X29" s="467">
        <f>'RZIS '!M18</f>
        <v>30795948.940000001</v>
      </c>
      <c r="Y29" s="514">
        <f t="shared" si="45"/>
        <v>0.16404124884599969</v>
      </c>
      <c r="Z29" s="314">
        <f>'RZIS '!N18</f>
        <v>28266625.009999987</v>
      </c>
      <c r="AA29" s="315">
        <f t="shared" si="29"/>
        <v>0.38084067896510909</v>
      </c>
      <c r="AB29" s="467">
        <f>'RZIS '!O18</f>
        <v>13836904.629999995</v>
      </c>
      <c r="AC29" s="468">
        <f t="shared" si="30"/>
        <v>0.22833827717671284</v>
      </c>
      <c r="AD29" s="485">
        <f>'RZIS '!P18</f>
        <v>29430288.179999992</v>
      </c>
      <c r="AE29" s="315">
        <f t="shared" si="31"/>
        <v>-0.23531868420182467</v>
      </c>
      <c r="AF29" s="467">
        <f>'RZIS '!Q18</f>
        <v>26456063.280000005</v>
      </c>
      <c r="AG29" s="514">
        <f t="shared" si="46"/>
        <v>-0.27026040191052525</v>
      </c>
      <c r="AH29" s="314">
        <f>'RZIS '!R18</f>
        <v>20470591.170000013</v>
      </c>
      <c r="AI29" s="315">
        <f t="shared" si="32"/>
        <v>-0.35689476903956041</v>
      </c>
      <c r="AJ29" s="467">
        <f>'RZIS '!S18</f>
        <v>11264734.550000001</v>
      </c>
      <c r="AK29" s="468">
        <f t="shared" si="33"/>
        <v>-0.25251228346678345</v>
      </c>
      <c r="AL29" s="485">
        <f>'RZIS '!T18</f>
        <v>38486997.88000001</v>
      </c>
      <c r="AM29" s="315">
        <f t="shared" si="34"/>
        <v>0.50890928453622553</v>
      </c>
      <c r="AN29" s="467">
        <f>'RZIS '!U18</f>
        <v>36254114.959999986</v>
      </c>
      <c r="AO29" s="468">
        <f t="shared" si="35"/>
        <v>0.87547597947577249</v>
      </c>
      <c r="AP29" s="314">
        <f>'RZIS '!V18</f>
        <v>31830857.819999997</v>
      </c>
      <c r="AQ29" s="315">
        <f t="shared" si="47"/>
        <v>0.65852023637543855</v>
      </c>
      <c r="AR29" s="467">
        <f>'RZIS '!W18</f>
        <v>15070126.640000008</v>
      </c>
      <c r="AS29" s="468">
        <f t="shared" si="36"/>
        <v>1.9336292592218398</v>
      </c>
      <c r="AT29" s="485">
        <f>'RZIS '!X18</f>
        <v>25506502.129999999</v>
      </c>
      <c r="AU29" s="315">
        <f t="shared" si="37"/>
        <v>1.9665134786864518</v>
      </c>
      <c r="AV29" s="467">
        <f>'RZIS '!Y18</f>
        <v>19330620.790000003</v>
      </c>
      <c r="AW29" s="468">
        <f t="shared" ref="AW29:AW30" si="65">(AV29/BD29)-1</f>
        <v>5.8791606095017039</v>
      </c>
      <c r="AX29" s="314">
        <f>'RZIS '!Z18</f>
        <v>19192324.04999999</v>
      </c>
      <c r="AY29" s="315">
        <f t="shared" si="38"/>
        <v>1.7877053401107847</v>
      </c>
      <c r="AZ29" s="467">
        <f>'RZIS '!AA18</f>
        <v>5137024.929999995</v>
      </c>
      <c r="BA29" s="468">
        <f t="shared" ref="BA29:BA30" si="66">(AZ29/BH29)-1</f>
        <v>-0.34364886965676666</v>
      </c>
      <c r="BB29" s="485">
        <f>'RZIS '!AB18</f>
        <v>8598141.3242369872</v>
      </c>
      <c r="BC29" s="315">
        <f t="shared" si="50"/>
        <v>0.96665855101648002</v>
      </c>
      <c r="BD29" s="467">
        <f>'RZIS '!AC18</f>
        <v>2810026.0899999873</v>
      </c>
      <c r="BE29" s="468">
        <f t="shared" si="51"/>
        <v>-0.54431770762096965</v>
      </c>
      <c r="BF29" s="314">
        <f>'RZIS '!AD18</f>
        <v>6884631.5189241907</v>
      </c>
      <c r="BG29" s="315">
        <f t="shared" si="52"/>
        <v>0.41012192320049445</v>
      </c>
      <c r="BH29" s="306">
        <f>'RZIS '!AE18</f>
        <v>7826641.4004857903</v>
      </c>
      <c r="BI29" s="307">
        <f t="shared" ref="BI29:BI30" si="67">(BH29/BP29)-1</f>
        <v>0.91722229012261791</v>
      </c>
      <c r="BJ29" s="314">
        <f>'RZIS '!AF18</f>
        <v>4371954.3078756519</v>
      </c>
      <c r="BK29" s="315">
        <f t="shared" si="54"/>
        <v>-0.71272709297933279</v>
      </c>
      <c r="BL29" s="285">
        <f>'RZIS '!AG18</f>
        <v>6166634.3788111163</v>
      </c>
      <c r="BM29" s="308">
        <f t="shared" si="58"/>
        <v>-0.30226694503524287</v>
      </c>
      <c r="BN29" s="314">
        <f>'RZIS '!AH18</f>
        <v>4882295.2155076293</v>
      </c>
      <c r="BO29" s="315">
        <f t="shared" si="55"/>
        <v>-0.60595078198914054</v>
      </c>
      <c r="BP29" s="306">
        <f>'RZIS '!AI18</f>
        <v>4082281.6638467256</v>
      </c>
      <c r="BQ29" s="307">
        <f t="shared" ref="BQ29:BQ30" si="68">(BP29/BX29)-1</f>
        <v>-0.19627980325398653</v>
      </c>
      <c r="BR29" s="314">
        <f>R11</f>
        <v>15218818.764420139</v>
      </c>
      <c r="BS29" s="315">
        <f t="shared" si="57"/>
        <v>3.0004867210136403</v>
      </c>
      <c r="BT29" s="285">
        <f>'RZIS '!AK18</f>
        <v>8838099.8075583447</v>
      </c>
      <c r="BU29" s="308">
        <f t="shared" si="39"/>
        <v>0.55899281479798124</v>
      </c>
      <c r="BV29" s="314">
        <f>'RZIS '!AL18</f>
        <v>12390064.469999988</v>
      </c>
      <c r="BW29" s="315">
        <f t="shared" si="40"/>
        <v>-0.10463176348179881</v>
      </c>
      <c r="BX29" s="306">
        <f>'RZIS '!AM18</f>
        <v>5079232.3999999994</v>
      </c>
      <c r="BY29" s="307">
        <f t="shared" si="41"/>
        <v>0.7015738730961556</v>
      </c>
      <c r="BZ29" s="314">
        <f>'RZIS '!AN18</f>
        <v>3804241.7899999944</v>
      </c>
      <c r="CA29" s="285">
        <f>'RZIS '!AO18</f>
        <v>5669108.749999987</v>
      </c>
      <c r="CB29" s="314">
        <f>'RZIS '!AP18</f>
        <v>13837954</v>
      </c>
      <c r="CC29" s="323">
        <v>2985020.21</v>
      </c>
      <c r="CD29" s="318">
        <v>13536853.609999999</v>
      </c>
      <c r="CE29" s="285">
        <v>16265979.529999999</v>
      </c>
      <c r="CF29" s="286">
        <v>17723515.600000001</v>
      </c>
      <c r="CG29" s="323">
        <v>6560341.2800000003</v>
      </c>
      <c r="CH29" s="286">
        <v>5627120.1100000003</v>
      </c>
      <c r="CI29" s="285">
        <v>10590304.25</v>
      </c>
      <c r="CJ29" s="286">
        <v>11784139.609999999</v>
      </c>
      <c r="CK29" s="309">
        <v>5046721.43</v>
      </c>
      <c r="CL29" s="286">
        <v>6009270.0899999999</v>
      </c>
      <c r="CM29" s="285">
        <v>5695036.3099999996</v>
      </c>
      <c r="CN29" s="286">
        <v>7450125.9299999997</v>
      </c>
      <c r="CO29" s="285">
        <v>4196060.5599999996</v>
      </c>
    </row>
    <row r="30" spans="1:93" ht="27.9" customHeight="1">
      <c r="A30" s="499" t="s">
        <v>7</v>
      </c>
      <c r="B30" s="314">
        <f>'RZIS '!B21</f>
        <v>56892201.549999982</v>
      </c>
      <c r="C30" s="315">
        <f t="shared" si="21"/>
        <v>0.90673566048736087</v>
      </c>
      <c r="D30" s="467">
        <f>'RZIS '!C21</f>
        <v>11560850.570199698</v>
      </c>
      <c r="E30" s="520">
        <f>(D30/L30)-1</f>
        <v>-0.22108879927226188</v>
      </c>
      <c r="F30" s="314">
        <f>'RZIS '!D21</f>
        <v>100521339.42436205</v>
      </c>
      <c r="G30" s="315">
        <f t="shared" si="22"/>
        <v>1.216452457808094</v>
      </c>
      <c r="H30" s="467">
        <f>'RZIS '!E21</f>
        <v>74389408.169999987</v>
      </c>
      <c r="I30" s="514">
        <f t="shared" si="43"/>
        <v>8.7390680135528083</v>
      </c>
      <c r="J30" s="314">
        <f>'RZIS '!F21</f>
        <v>29837487.559999984</v>
      </c>
      <c r="K30" s="315">
        <f t="shared" si="23"/>
        <v>7.0373310187319049</v>
      </c>
      <c r="L30" s="467">
        <f>'RZIS '!G21</f>
        <v>14842321.640000008</v>
      </c>
      <c r="M30" s="520">
        <f t="shared" si="24"/>
        <v>5.9064440566004466</v>
      </c>
      <c r="N30" s="314">
        <f>'RZIS '!H21</f>
        <v>45352355.323592253</v>
      </c>
      <c r="O30" s="315">
        <f t="shared" si="25"/>
        <v>1.2248254501115015</v>
      </c>
      <c r="P30" s="467">
        <f>'RZIS '!I21</f>
        <v>7638247.1163031505</v>
      </c>
      <c r="Q30" s="514">
        <f t="shared" si="44"/>
        <v>-0.69968142324265858</v>
      </c>
      <c r="R30" s="314">
        <f>'RZIS '!J21</f>
        <v>3712362.6599999876</v>
      </c>
      <c r="S30" s="315">
        <f t="shared" si="26"/>
        <v>-0.84124375029695775</v>
      </c>
      <c r="T30" s="467">
        <f>'RZIS '!K21</f>
        <v>2149054.0599999926</v>
      </c>
      <c r="U30" s="520">
        <f t="shared" si="27"/>
        <v>-0.81033667250565311</v>
      </c>
      <c r="V30" s="314">
        <f>'RZIS '!L21</f>
        <v>20384680.209999993</v>
      </c>
      <c r="W30" s="315">
        <f t="shared" si="28"/>
        <v>-0.1534704976713267</v>
      </c>
      <c r="X30" s="467">
        <f>'RZIS '!M21</f>
        <v>25433814.98</v>
      </c>
      <c r="Y30" s="514">
        <f t="shared" si="45"/>
        <v>0.15844485723946855</v>
      </c>
      <c r="Z30" s="314">
        <f>'RZIS '!N21</f>
        <v>23384041.049999986</v>
      </c>
      <c r="AA30" s="315">
        <f t="shared" si="29"/>
        <v>0.38115882432302728</v>
      </c>
      <c r="AB30" s="467">
        <f>'RZIS '!O21</f>
        <v>11330888.729999995</v>
      </c>
      <c r="AC30" s="468">
        <f t="shared" si="30"/>
        <v>0.24408289463590882</v>
      </c>
      <c r="AD30" s="485">
        <f>'RZIS '!P21</f>
        <v>24080295.079999991</v>
      </c>
      <c r="AE30" s="315">
        <f t="shared" si="31"/>
        <v>-0.22626025179429576</v>
      </c>
      <c r="AF30" s="467">
        <f>'RZIS '!Q21</f>
        <v>21955136.510000005</v>
      </c>
      <c r="AG30" s="514">
        <f t="shared" si="46"/>
        <v>-0.25145179978125876</v>
      </c>
      <c r="AH30" s="314">
        <f>'RZIS '!R21</f>
        <v>16930740.070000011</v>
      </c>
      <c r="AI30" s="315">
        <f t="shared" si="32"/>
        <v>-0.3438657134325207</v>
      </c>
      <c r="AJ30" s="467">
        <f>'RZIS '!S21</f>
        <v>9107824.5500000007</v>
      </c>
      <c r="AK30" s="468">
        <f t="shared" si="33"/>
        <v>-0.25763273719593904</v>
      </c>
      <c r="AL30" s="485">
        <f>'RZIS '!T21</f>
        <v>31121956.88000001</v>
      </c>
      <c r="AM30" s="315">
        <f t="shared" si="34"/>
        <v>0.53394067456161354</v>
      </c>
      <c r="AN30" s="467">
        <f>'RZIS '!U21</f>
        <v>29330290.959999986</v>
      </c>
      <c r="AO30" s="468">
        <f t="shared" si="35"/>
        <v>0.85970738594115326</v>
      </c>
      <c r="AP30" s="314">
        <f>'RZIS '!V21</f>
        <v>25803772.819999997</v>
      </c>
      <c r="AQ30" s="315">
        <f t="shared" si="47"/>
        <v>0.65257652407216193</v>
      </c>
      <c r="AR30" s="467">
        <f>'RZIS '!W21</f>
        <v>12268623.640000008</v>
      </c>
      <c r="AS30" s="468">
        <f t="shared" si="36"/>
        <v>2.1384160552692157</v>
      </c>
      <c r="AT30" s="485">
        <f>'RZIS '!X21</f>
        <v>20288892.129999999</v>
      </c>
      <c r="AU30" s="315">
        <f t="shared" si="37"/>
        <v>2.087760678746946</v>
      </c>
      <c r="AV30" s="467">
        <f>'RZIS '!Y21</f>
        <v>15771454.790000003</v>
      </c>
      <c r="AW30" s="468">
        <f t="shared" si="65"/>
        <v>7.5050888446614135</v>
      </c>
      <c r="AX30" s="314">
        <f>'RZIS '!Z21</f>
        <v>15614268.04999999</v>
      </c>
      <c r="AY30" s="315">
        <f t="shared" ref="AY30" si="69">(AX30/BF30)-1</f>
        <v>2.1053620255653036</v>
      </c>
      <c r="AZ30" s="467">
        <f>'RZIS '!AA21</f>
        <v>3909176.929999995</v>
      </c>
      <c r="BA30" s="468">
        <f t="shared" si="66"/>
        <v>-0.37631875256871705</v>
      </c>
      <c r="BB30" s="485">
        <f>'RZIS '!AB21</f>
        <v>6570746.3242369872</v>
      </c>
      <c r="BC30" s="315">
        <f t="shared" si="50"/>
        <v>1.8304783922108316</v>
      </c>
      <c r="BD30" s="467">
        <f>'RZIS '!AC21</f>
        <v>1854355.0899999873</v>
      </c>
      <c r="BE30" s="468">
        <f t="shared" si="51"/>
        <v>-0.57329864037162193</v>
      </c>
      <c r="BF30" s="314">
        <f>'RZIS '!AD21</f>
        <v>5028163.5189241907</v>
      </c>
      <c r="BG30" s="315">
        <f t="shared" si="52"/>
        <v>0.39732411053124772</v>
      </c>
      <c r="BH30" s="306">
        <f>'RZIS '!AE21</f>
        <v>6267908.4004857903</v>
      </c>
      <c r="BI30" s="307">
        <f t="shared" si="67"/>
        <v>0.98028127673879006</v>
      </c>
      <c r="BJ30" s="314">
        <f>'RZIS '!AF21</f>
        <v>2321426.0678756516</v>
      </c>
      <c r="BK30" s="315">
        <f t="shared" si="54"/>
        <v>-0.79275565813111926</v>
      </c>
      <c r="BL30" s="285">
        <f>'RZIS '!AG21</f>
        <v>4345791.3788111163</v>
      </c>
      <c r="BM30" s="308">
        <f t="shared" si="58"/>
        <v>-0.34884656642875389</v>
      </c>
      <c r="BN30" s="314">
        <f>'RZIS '!AH21</f>
        <v>3598423.2155076293</v>
      </c>
      <c r="BO30" s="315">
        <f t="shared" si="55"/>
        <v>-0.63210134052570766</v>
      </c>
      <c r="BP30" s="306">
        <f>'RZIS '!AI21</f>
        <v>3165160.6638467256</v>
      </c>
      <c r="BQ30" s="307">
        <f t="shared" si="68"/>
        <v>-0.23133722905849341</v>
      </c>
      <c r="BR30" s="314">
        <f>R12</f>
        <v>11201396.607220139</v>
      </c>
      <c r="BS30" s="315">
        <f t="shared" si="57"/>
        <v>4.066126258846154</v>
      </c>
      <c r="BT30" s="285">
        <f>'RZIS '!AK21</f>
        <v>6673989.8075583447</v>
      </c>
      <c r="BU30" s="308">
        <f t="shared" si="39"/>
        <v>1.7377722001281639</v>
      </c>
      <c r="BV30" s="314">
        <f>'RZIS '!AL21</f>
        <v>9781017.4699999876</v>
      </c>
      <c r="BW30" s="315">
        <f t="shared" si="40"/>
        <v>3.8286435551304399E-2</v>
      </c>
      <c r="BX30" s="306">
        <f>'RZIS '!AM21</f>
        <v>4117749.3999999994</v>
      </c>
      <c r="BY30" s="307">
        <f t="shared" si="41"/>
        <v>0.69208470499808161</v>
      </c>
      <c r="BZ30" s="314">
        <f>'RZIS '!AN21</f>
        <v>2211037.7899999944</v>
      </c>
      <c r="CA30" s="285">
        <f>'RZIS '!AO21</f>
        <v>2437744.749999987</v>
      </c>
      <c r="CB30" s="314">
        <f>'RZIS '!AP21</f>
        <v>9420346</v>
      </c>
      <c r="CC30" s="323">
        <v>2433536.21</v>
      </c>
      <c r="CD30" s="318">
        <v>10825023.01</v>
      </c>
      <c r="CE30" s="285">
        <v>12916531.529999999</v>
      </c>
      <c r="CF30" s="286">
        <v>14112460.6</v>
      </c>
      <c r="CG30" s="323">
        <v>4828559.28</v>
      </c>
      <c r="CH30" s="286">
        <v>2732481.2</v>
      </c>
      <c r="CI30" s="285">
        <v>6772364.7300000004</v>
      </c>
      <c r="CJ30" s="286">
        <v>8150110.1500000004</v>
      </c>
      <c r="CK30" s="309">
        <v>3418685.37</v>
      </c>
      <c r="CL30" s="286">
        <v>5639833.0099999998</v>
      </c>
      <c r="CM30" s="285">
        <v>3483208.13</v>
      </c>
      <c r="CN30" s="286">
        <v>4945106.42</v>
      </c>
      <c r="CO30" s="285">
        <v>2842426.27</v>
      </c>
    </row>
    <row r="31" spans="1:93" ht="27.9" customHeight="1">
      <c r="A31" s="499"/>
      <c r="B31" s="316"/>
      <c r="C31" s="315"/>
      <c r="D31" s="469"/>
      <c r="E31" s="520"/>
      <c r="F31" s="314"/>
      <c r="G31" s="315"/>
      <c r="H31" s="469"/>
      <c r="I31" s="514"/>
      <c r="J31" s="316"/>
      <c r="K31" s="315"/>
      <c r="L31" s="469"/>
      <c r="M31" s="520"/>
      <c r="N31" s="316"/>
      <c r="O31" s="315"/>
      <c r="P31" s="469"/>
      <c r="Q31" s="514"/>
      <c r="R31" s="316"/>
      <c r="S31" s="315"/>
      <c r="T31" s="469"/>
      <c r="U31" s="520"/>
      <c r="V31" s="316"/>
      <c r="W31" s="315"/>
      <c r="X31" s="469"/>
      <c r="Y31" s="514"/>
      <c r="Z31" s="316"/>
      <c r="AA31" s="315"/>
      <c r="AB31" s="469"/>
      <c r="AC31" s="468"/>
      <c r="AD31" s="486"/>
      <c r="AE31" s="315"/>
      <c r="AF31" s="469"/>
      <c r="AG31" s="514"/>
      <c r="AH31" s="316"/>
      <c r="AI31" s="315"/>
      <c r="AJ31" s="469"/>
      <c r="AK31" s="468"/>
      <c r="AL31" s="486"/>
      <c r="AM31" s="315"/>
      <c r="AN31" s="469"/>
      <c r="AO31" s="468"/>
      <c r="AP31" s="316"/>
      <c r="AQ31" s="315"/>
      <c r="AR31" s="469"/>
      <c r="AS31" s="468"/>
      <c r="AT31" s="486"/>
      <c r="AU31" s="315"/>
      <c r="AV31" s="469"/>
      <c r="AW31" s="468"/>
      <c r="AX31" s="316"/>
      <c r="AY31" s="315"/>
      <c r="AZ31" s="469"/>
      <c r="BA31" s="468"/>
      <c r="BB31" s="486"/>
      <c r="BC31" s="315"/>
      <c r="BD31" s="469"/>
      <c r="BE31" s="468"/>
      <c r="BF31" s="316"/>
      <c r="BG31" s="315"/>
      <c r="BH31" s="306"/>
      <c r="BI31" s="307"/>
      <c r="BJ31" s="316"/>
      <c r="BK31" s="315"/>
      <c r="BL31" s="285"/>
      <c r="BM31" s="308"/>
      <c r="BN31" s="316"/>
      <c r="BO31" s="315"/>
      <c r="BP31" s="306"/>
      <c r="BQ31" s="307"/>
      <c r="BR31" s="316"/>
      <c r="BS31" s="315"/>
      <c r="BT31" s="285"/>
      <c r="BU31" s="308"/>
      <c r="BV31" s="316"/>
      <c r="BW31" s="315"/>
      <c r="BX31" s="306"/>
      <c r="BY31" s="307"/>
      <c r="BZ31" s="316"/>
      <c r="CA31" s="285"/>
      <c r="CB31" s="316"/>
      <c r="CC31" s="323"/>
      <c r="CD31" s="318"/>
      <c r="CE31" s="285"/>
      <c r="CF31" s="286"/>
      <c r="CG31" s="323"/>
      <c r="CH31" s="286"/>
      <c r="CI31" s="285"/>
      <c r="CJ31" s="286"/>
      <c r="CK31" s="309"/>
      <c r="CL31" s="286"/>
      <c r="CM31" s="285"/>
      <c r="CN31" s="286"/>
      <c r="CO31" s="285"/>
    </row>
    <row r="32" spans="1:93" ht="27.9" customHeight="1">
      <c r="A32" s="499" t="s">
        <v>8</v>
      </c>
      <c r="B32" s="314">
        <f>BILANS!B32</f>
        <v>671455465.30999994</v>
      </c>
      <c r="C32" s="315">
        <f t="shared" ref="C32:C37" si="70">(B32/J32)-1</f>
        <v>0.15857108821218358</v>
      </c>
      <c r="D32" s="467">
        <f>BILANS!C32</f>
        <v>719812958.4808439</v>
      </c>
      <c r="E32" s="520">
        <f t="shared" ref="E32:E37" si="71">(D32/L32)-1</f>
        <v>0.25363238775439645</v>
      </c>
      <c r="F32" s="316">
        <f>BILANS!D32</f>
        <v>756866398.83515525</v>
      </c>
      <c r="G32" s="315">
        <f t="shared" ref="G32:G37" si="72">(F32/N32)-1</f>
        <v>0.35082114541207865</v>
      </c>
      <c r="H32" s="467">
        <f>BILANS!E32</f>
        <v>582996665.63999999</v>
      </c>
      <c r="I32" s="514">
        <f t="shared" ref="I32:I37" si="73">(H32/P32)-1</f>
        <v>0.2450908814414301</v>
      </c>
      <c r="J32" s="314">
        <f>BILANS!F32</f>
        <v>579554825.8900001</v>
      </c>
      <c r="K32" s="315">
        <f t="shared" ref="K32:K37" si="74">(J32/R32)-1</f>
        <v>0.28305044033656834</v>
      </c>
      <c r="L32" s="467">
        <f>BILANS!G32</f>
        <v>574181845.89999998</v>
      </c>
      <c r="M32" s="520">
        <f t="shared" ref="M32:M37" si="75">(L32/T32)-1</f>
        <v>0.26882245646201985</v>
      </c>
      <c r="N32" s="314">
        <f>BILANS!H32</f>
        <v>560300970.56577182</v>
      </c>
      <c r="O32" s="315">
        <f t="shared" ref="O32:O37" si="76">(N32/V32)-1</f>
        <v>0.32023042595055151</v>
      </c>
      <c r="P32" s="467">
        <f>BILANS!I32</f>
        <v>468236234.26192808</v>
      </c>
      <c r="Q32" s="514">
        <f t="shared" ref="Q32:Q37" si="77">(P32/X32)-1</f>
        <v>7.1404325756369014E-2</v>
      </c>
      <c r="R32" s="314">
        <f>BILANS!J32</f>
        <v>451700734.17999995</v>
      </c>
      <c r="S32" s="315">
        <f t="shared" ref="S32:S37" si="78">(R32/Z32)-1</f>
        <v>6.1462511174250611E-3</v>
      </c>
      <c r="T32" s="467">
        <f>BILANS!K32</f>
        <v>452531276.51999998</v>
      </c>
      <c r="U32" s="520">
        <f t="shared" ref="U32:U37" si="79">(T32/AB32)-1</f>
        <v>-3.0684406701817601E-2</v>
      </c>
      <c r="V32" s="314">
        <f>BILANS!L32</f>
        <v>424396347.45000005</v>
      </c>
      <c r="W32" s="315">
        <f t="shared" ref="W32:W37" si="80">(V32/AD32)-1</f>
        <v>-1.8346229785842549E-2</v>
      </c>
      <c r="X32" s="467">
        <f>BILANS!M32</f>
        <v>437030375</v>
      </c>
      <c r="Y32" s="514">
        <f t="shared" ref="Y32:Y37" si="81">(X32/AF32)-1</f>
        <v>6.2549424994600145E-2</v>
      </c>
      <c r="Z32" s="314">
        <f>BILANS!N32</f>
        <v>448941427.42999995</v>
      </c>
      <c r="AA32" s="315">
        <f t="shared" ref="AA32:AA37" si="82">(Z32/AH32)-1</f>
        <v>9.1750740523157903E-2</v>
      </c>
      <c r="AB32" s="467">
        <f>BILANS!O32</f>
        <v>466856490.96000004</v>
      </c>
      <c r="AC32" s="468">
        <f t="shared" ref="AC32:AC37" si="83">(AB32/AJ32)-1</f>
        <v>6.9314354277575818E-2</v>
      </c>
      <c r="AD32" s="485">
        <f>BILANS!P32</f>
        <v>432327935.09000003</v>
      </c>
      <c r="AE32" s="315">
        <f t="shared" ref="AE32:AE37" si="84">(AD32/AL32)-1</f>
        <v>3.2060689984201085E-2</v>
      </c>
      <c r="AF32" s="467">
        <f>BILANS!Q32</f>
        <v>411303573.00999999</v>
      </c>
      <c r="AG32" s="514">
        <f t="shared" ref="AG32:AG37" si="85">(AF32/AN32)-1</f>
        <v>4.7810294543451315E-2</v>
      </c>
      <c r="AH32" s="314">
        <f>BILANS!R32</f>
        <v>411212386.45999998</v>
      </c>
      <c r="AI32" s="315">
        <f>(AH32/AP32)-1</f>
        <v>-1.9822073045090982E-2</v>
      </c>
      <c r="AJ32" s="467">
        <f>BILANS!S32</f>
        <v>436594242.93000001</v>
      </c>
      <c r="AK32" s="468">
        <f t="shared" ref="AK32:AK37" si="86">(AJ32/AR32)-1</f>
        <v>-1.3634437970891922E-3</v>
      </c>
      <c r="AL32" s="485">
        <f>BILANS!T32</f>
        <v>418897783.13</v>
      </c>
      <c r="AM32" s="315">
        <f t="shared" ref="AM32:AM37" si="87">(AL32/AT32)-1</f>
        <v>-1.1838580252213515E-2</v>
      </c>
      <c r="AN32" s="467">
        <f>BILANS!U32</f>
        <v>392536297.02999997</v>
      </c>
      <c r="AO32" s="468">
        <f t="shared" ref="AO32:AO37" si="88">(AN32/AV32)-1</f>
        <v>-8.2297335903207536E-3</v>
      </c>
      <c r="AP32" s="314">
        <f>BILANS!V32</f>
        <v>419528307.20999998</v>
      </c>
      <c r="AQ32" s="315">
        <f>(AP32/AX32)-1</f>
        <v>1.9126589951418582E-2</v>
      </c>
      <c r="AR32" s="467">
        <f>BILANS!W32</f>
        <v>437190327.37</v>
      </c>
      <c r="AS32" s="468">
        <f t="shared" ref="AS32:AS37" si="89">(AR32/AZ32)-1</f>
        <v>7.616365236286593E-2</v>
      </c>
      <c r="AT32" s="485">
        <f>BILANS!X32</f>
        <v>423916350.87</v>
      </c>
      <c r="AU32" s="315">
        <f t="shared" ref="AU32:AU37" si="90">(AT32/BB32)-1</f>
        <v>6.8134569783236287E-2</v>
      </c>
      <c r="AV32" s="467">
        <f>BILANS!Y32</f>
        <v>395793572.68999994</v>
      </c>
      <c r="AW32" s="468">
        <f t="shared" ref="AW32:AW37" si="91">(AV32/BD32)-1</f>
        <v>6.0866328860849084E-3</v>
      </c>
      <c r="AX32" s="314">
        <f>BILANS!Z32</f>
        <v>411654755.5</v>
      </c>
      <c r="AY32" s="315">
        <f>(AX32/BF32)-1</f>
        <v>7.934273461730923E-3</v>
      </c>
      <c r="AZ32" s="467">
        <f>BILANS!AA32</f>
        <v>406248925.44</v>
      </c>
      <c r="BA32" s="468">
        <f t="shared" ref="BA32:BA37" si="92">(AZ32/BH32)-1</f>
        <v>-1.2981564411046587E-2</v>
      </c>
      <c r="BB32" s="485">
        <f>BILANS!AB32</f>
        <v>396875415.19794476</v>
      </c>
      <c r="BC32" s="315">
        <f>(BB32/BJ32)-1</f>
        <v>4.012420536348027E-2</v>
      </c>
      <c r="BD32" s="467">
        <f>BILANS!AC32</f>
        <v>393399096.81000006</v>
      </c>
      <c r="BE32" s="468">
        <f>(BD32/BL32)-1</f>
        <v>2.9763487581874415E-2</v>
      </c>
      <c r="BF32" s="314">
        <f>BILANS!AD32</f>
        <v>408414284.87809986</v>
      </c>
      <c r="BG32" s="315">
        <f>(BF32/BN32)-1</f>
        <v>6.5827535101829815E-2</v>
      </c>
      <c r="BH32" s="306">
        <f>BILANS!AE32</f>
        <v>411592033.93966138</v>
      </c>
      <c r="BI32" s="307">
        <f t="shared" ref="BG32:BI37" si="93">(BH32/BP32)-1</f>
        <v>6.4615659060174524E-2</v>
      </c>
      <c r="BJ32" s="314">
        <f>BILANS!AF32</f>
        <v>381565406.4691757</v>
      </c>
      <c r="BK32" s="315">
        <f t="shared" ref="BK32:BK37" si="94">BJ32/BR32-1</f>
        <v>5.7228663260896484E-2</v>
      </c>
      <c r="BL32" s="285">
        <f>BILANS!AG32</f>
        <v>382028593.51111114</v>
      </c>
      <c r="BM32" s="308">
        <f>(BL32/BT32)-1</f>
        <v>3.1173910491167467E-2</v>
      </c>
      <c r="BN32" s="314">
        <f>BILANS!AH32</f>
        <v>383189842.0968076</v>
      </c>
      <c r="BO32" s="315">
        <f t="shared" ref="BO32:BO37" si="95">BN32/BV32-1</f>
        <v>1.7205206698718278E-3</v>
      </c>
      <c r="BP32" s="306">
        <f>BILANS!AI32</f>
        <v>386610914.87514675</v>
      </c>
      <c r="BQ32" s="307">
        <f t="shared" ref="BQ32:BQ37" si="96">(BP32/BX32)-1</f>
        <v>-6.440008266314412E-3</v>
      </c>
      <c r="BR32" s="314">
        <f>BR33+BR34</f>
        <v>360910954.96056873</v>
      </c>
      <c r="BS32" s="315">
        <f t="shared" ref="BS32:BS37" si="97">BR32/BZ32-1</f>
        <v>1.700182259634575E-2</v>
      </c>
      <c r="BT32" s="285">
        <f>BILANS!AK32</f>
        <v>370479304.82370698</v>
      </c>
      <c r="BU32" s="308">
        <f t="shared" ref="BU32:BU37" si="98">(BT32/CA32)-1</f>
        <v>3.6496540214168594E-2</v>
      </c>
      <c r="BV32" s="314">
        <f>BILANS!AL32</f>
        <v>382531688.42000002</v>
      </c>
      <c r="BW32" s="315">
        <f t="shared" ref="BW32:BW37" si="99">BV32/CB32-1</f>
        <v>4.8591982304991843E-2</v>
      </c>
      <c r="BX32" s="306">
        <f>BILANS!AM32</f>
        <v>389116830.48000002</v>
      </c>
      <c r="BY32" s="307">
        <f t="shared" ref="BY32:BY37" si="100">(BX32/CC32)-1</f>
        <v>2.1324324902802116E-2</v>
      </c>
      <c r="BZ32" s="314">
        <f>BILANS!AN32</f>
        <v>354877392.49000001</v>
      </c>
      <c r="CA32" s="285">
        <f>BILANS!AO32</f>
        <v>357434193.40999997</v>
      </c>
      <c r="CB32" s="314">
        <f>BILANS!AP32</f>
        <v>364805086.13</v>
      </c>
      <c r="CC32" s="323">
        <v>380992424.24000001</v>
      </c>
      <c r="CD32" s="318">
        <v>351151367.77999997</v>
      </c>
      <c r="CE32" s="285">
        <v>343204281.51999998</v>
      </c>
      <c r="CF32" s="286">
        <v>349891429.37</v>
      </c>
      <c r="CG32" s="323">
        <v>349282331.81</v>
      </c>
      <c r="CH32" s="286">
        <v>307448754.75</v>
      </c>
      <c r="CI32" s="285">
        <v>293979653.92000002</v>
      </c>
      <c r="CJ32" s="286">
        <v>302888485.00999999</v>
      </c>
      <c r="CK32" s="309">
        <v>321698876.67000002</v>
      </c>
      <c r="CL32" s="286">
        <v>292167224.08999997</v>
      </c>
      <c r="CM32" s="285">
        <v>283247704.67000002</v>
      </c>
      <c r="CN32" s="286">
        <v>299304796.69999999</v>
      </c>
      <c r="CO32" s="285">
        <v>302780126.38</v>
      </c>
    </row>
    <row r="33" spans="1:93" ht="27.9" customHeight="1">
      <c r="A33" s="499" t="s">
        <v>9</v>
      </c>
      <c r="B33" s="314">
        <f>BILANS!B17</f>
        <v>255833930.22</v>
      </c>
      <c r="C33" s="315">
        <f t="shared" si="70"/>
        <v>2.6790704068017535E-2</v>
      </c>
      <c r="D33" s="467">
        <f>BILANS!C17</f>
        <v>256169804.18130001</v>
      </c>
      <c r="E33" s="520">
        <f t="shared" si="71"/>
        <v>2.4085135803081359E-2</v>
      </c>
      <c r="F33" s="314">
        <f>BILANS!D17</f>
        <v>257106492.12130001</v>
      </c>
      <c r="G33" s="315">
        <f t="shared" si="72"/>
        <v>2.8136302838408067E-2</v>
      </c>
      <c r="H33" s="467">
        <f>BILANS!E17</f>
        <v>247349745.16999999</v>
      </c>
      <c r="I33" s="514">
        <f t="shared" si="73"/>
        <v>-3.0339421851763859E-3</v>
      </c>
      <c r="J33" s="314">
        <f>BILANS!F17</f>
        <v>249158790.79000002</v>
      </c>
      <c r="K33" s="315">
        <f t="shared" si="74"/>
        <v>2.6809476343157446E-2</v>
      </c>
      <c r="L33" s="467">
        <f>BILANS!G17</f>
        <v>250145027.22999999</v>
      </c>
      <c r="M33" s="520">
        <f t="shared" si="75"/>
        <v>3.6845550879029965E-2</v>
      </c>
      <c r="N33" s="314">
        <f>BILANS!H17</f>
        <v>250070434.64130005</v>
      </c>
      <c r="O33" s="315">
        <f t="shared" si="76"/>
        <v>3.7114147632248073E-2</v>
      </c>
      <c r="P33" s="467">
        <f>BILANS!I17</f>
        <v>248102473.7313</v>
      </c>
      <c r="Q33" s="514">
        <f t="shared" si="77"/>
        <v>4.0328598939095794E-2</v>
      </c>
      <c r="R33" s="314">
        <f>BILANS!J17</f>
        <v>242653380.72</v>
      </c>
      <c r="S33" s="315">
        <f t="shared" si="78"/>
        <v>2.7406382551220965E-2</v>
      </c>
      <c r="T33" s="467">
        <f>BILANS!K17</f>
        <v>241255823.50999999</v>
      </c>
      <c r="U33" s="520">
        <f t="shared" si="79"/>
        <v>3.1331001908983636E-2</v>
      </c>
      <c r="V33" s="314">
        <f>BILANS!L17</f>
        <v>241121418.71000001</v>
      </c>
      <c r="W33" s="315">
        <f t="shared" si="80"/>
        <v>3.6873042576161419E-2</v>
      </c>
      <c r="X33" s="467">
        <f>BILANS!M17</f>
        <v>238484719.14000002</v>
      </c>
      <c r="Y33" s="514">
        <f t="shared" si="81"/>
        <v>2.1516765368971624E-2</v>
      </c>
      <c r="Z33" s="314">
        <f>BILANS!N17</f>
        <v>236180526.84999999</v>
      </c>
      <c r="AA33" s="315">
        <f t="shared" si="82"/>
        <v>3.7993493663135425E-3</v>
      </c>
      <c r="AB33" s="467">
        <f>BILANS!O17</f>
        <v>233926666.67000002</v>
      </c>
      <c r="AC33" s="468">
        <f t="shared" si="83"/>
        <v>-2.4097810424030364E-2</v>
      </c>
      <c r="AD33" s="485">
        <f>BILANS!P17</f>
        <v>232546713.82999998</v>
      </c>
      <c r="AE33" s="315">
        <f t="shared" si="84"/>
        <v>-3.3597395365194127E-2</v>
      </c>
      <c r="AF33" s="467">
        <f>BILANS!Q17</f>
        <v>233461385.29000002</v>
      </c>
      <c r="AG33" s="514">
        <f t="shared" si="85"/>
        <v>-3.1089421731657851E-2</v>
      </c>
      <c r="AH33" s="314">
        <f>BILANS!R17</f>
        <v>235286590.88999999</v>
      </c>
      <c r="AI33" s="315">
        <f t="shared" ref="AI33:AI37" si="101">(AH33/AP33)-1</f>
        <v>-3.3424985283083464E-2</v>
      </c>
      <c r="AJ33" s="467">
        <f>BILANS!S17</f>
        <v>239702983.72999999</v>
      </c>
      <c r="AK33" s="468">
        <f t="shared" si="86"/>
        <v>-2.0551764460864708E-2</v>
      </c>
      <c r="AL33" s="485">
        <f>BILANS!T17</f>
        <v>240631298.70999998</v>
      </c>
      <c r="AM33" s="315">
        <f t="shared" si="87"/>
        <v>-3.1679775883155181E-2</v>
      </c>
      <c r="AN33" s="467">
        <f>BILANS!U17</f>
        <v>240952457.86999997</v>
      </c>
      <c r="AO33" s="468">
        <f t="shared" si="88"/>
        <v>2.9085364906971112E-3</v>
      </c>
      <c r="AP33" s="314">
        <f>BILANS!V17</f>
        <v>243423001.12</v>
      </c>
      <c r="AQ33" s="315">
        <f t="shared" ref="AQ33:AQ37" si="102">(AP33/AX33)-1</f>
        <v>1.3295957034168859E-2</v>
      </c>
      <c r="AR33" s="467">
        <f>BILANS!W17</f>
        <v>244732671.95999998</v>
      </c>
      <c r="AS33" s="468">
        <f t="shared" si="89"/>
        <v>1.0361073507292984E-2</v>
      </c>
      <c r="AT33" s="485">
        <f>BILANS!X17</f>
        <v>248503844.81999996</v>
      </c>
      <c r="AU33" s="315">
        <f t="shared" si="90"/>
        <v>2.5847254248451579E-2</v>
      </c>
      <c r="AV33" s="467">
        <f>BILANS!Y17</f>
        <v>240253671.29999998</v>
      </c>
      <c r="AW33" s="468">
        <f t="shared" si="91"/>
        <v>-1.6269505026511255E-2</v>
      </c>
      <c r="AX33" s="314">
        <f>BILANS!Z17</f>
        <v>240228927.62</v>
      </c>
      <c r="AY33" s="315">
        <f t="shared" ref="AY33:AY37" si="103">(AX33/BF33)-1</f>
        <v>-1.3794800276177188E-2</v>
      </c>
      <c r="AZ33" s="467">
        <f>BILANS!AA17</f>
        <v>242222981.84000003</v>
      </c>
      <c r="BA33" s="468">
        <f t="shared" si="92"/>
        <v>1.24200650653572E-2</v>
      </c>
      <c r="BB33" s="485">
        <f>BILANS!AB17</f>
        <v>242242540.29129994</v>
      </c>
      <c r="BC33" s="315">
        <f t="shared" ref="BC33:BC37" si="104">(BB33/BJ33)-1</f>
        <v>2.0186854410110922E-2</v>
      </c>
      <c r="BD33" s="467">
        <f>BILANS!AC17</f>
        <v>244227125.75</v>
      </c>
      <c r="BE33" s="468">
        <f t="shared" si="51"/>
        <v>5.480568153046117E-2</v>
      </c>
      <c r="BF33" s="314">
        <f>BILANS!AD17</f>
        <v>243589191.87129998</v>
      </c>
      <c r="BG33" s="315">
        <f t="shared" si="93"/>
        <v>6.3926899301225415E-2</v>
      </c>
      <c r="BH33" s="306">
        <f>BILANS!AE17</f>
        <v>239251463.10129997</v>
      </c>
      <c r="BI33" s="307">
        <f t="shared" si="93"/>
        <v>4.954091395796878E-2</v>
      </c>
      <c r="BJ33" s="314">
        <f>BILANS!AF17</f>
        <v>237449188.10129997</v>
      </c>
      <c r="BK33" s="315">
        <f t="shared" si="94"/>
        <v>4.028539924650909E-2</v>
      </c>
      <c r="BL33" s="285">
        <f>BILANS!AG17</f>
        <v>231537552.39129996</v>
      </c>
      <c r="BM33" s="308">
        <f t="shared" ref="BM33:BM37" si="105">(BL33/BT33)-1</f>
        <v>2.3416744902478248E-2</v>
      </c>
      <c r="BN33" s="314">
        <f>BILANS!AH17</f>
        <v>228952940.31130001</v>
      </c>
      <c r="BO33" s="315">
        <f t="shared" si="95"/>
        <v>1.4599302023273086E-2</v>
      </c>
      <c r="BP33" s="306">
        <f>BILANS!AI17</f>
        <v>227958205.26810002</v>
      </c>
      <c r="BQ33" s="307">
        <f t="shared" si="96"/>
        <v>1.4330740734051384E-2</v>
      </c>
      <c r="BR33" s="314">
        <f>R15</f>
        <v>228253889.05129996</v>
      </c>
      <c r="BS33" s="315">
        <f t="shared" si="97"/>
        <v>2.5743355698267578E-2</v>
      </c>
      <c r="BT33" s="285">
        <f>BILANS!AK17</f>
        <v>226239753.79000005</v>
      </c>
      <c r="BU33" s="308">
        <f t="shared" si="98"/>
        <v>5.2050260487888744E-2</v>
      </c>
      <c r="BV33" s="314">
        <f>BILANS!AL17</f>
        <v>225658483.95000002</v>
      </c>
      <c r="BW33" s="315">
        <f t="shared" si="99"/>
        <v>0.10041045297942341</v>
      </c>
      <c r="BX33" s="306">
        <f>BILANS!AM17</f>
        <v>224737549.71000001</v>
      </c>
      <c r="BY33" s="307">
        <f t="shared" si="100"/>
        <v>0.10466548479239379</v>
      </c>
      <c r="BZ33" s="314">
        <f>BILANS!AN17</f>
        <v>222525340.06999999</v>
      </c>
      <c r="CA33" s="285">
        <f>BILANS!AO17</f>
        <v>215046526.09</v>
      </c>
      <c r="CB33" s="314">
        <f>BILANS!AP17</f>
        <v>205067557.59999999</v>
      </c>
      <c r="CC33" s="323">
        <v>203443986.25999999</v>
      </c>
      <c r="CD33" s="318">
        <v>200340523.31</v>
      </c>
      <c r="CE33" s="285">
        <v>208583856.13999999</v>
      </c>
      <c r="CF33" s="286">
        <v>205236083.56</v>
      </c>
      <c r="CG33" s="323">
        <v>197638867.38</v>
      </c>
      <c r="CH33" s="286">
        <v>189390177.69</v>
      </c>
      <c r="CI33" s="285">
        <v>191969820.59</v>
      </c>
      <c r="CJ33" s="286">
        <v>189947432.06999999</v>
      </c>
      <c r="CK33" s="309">
        <v>188081378.08000001</v>
      </c>
      <c r="CL33" s="286">
        <v>190244648.44</v>
      </c>
      <c r="CM33" s="285">
        <v>187095180.59</v>
      </c>
      <c r="CN33" s="286">
        <v>186981527.18000001</v>
      </c>
      <c r="CO33" s="285">
        <v>187972828.19</v>
      </c>
    </row>
    <row r="34" spans="1:93" ht="27.9" customHeight="1">
      <c r="A34" s="499" t="s">
        <v>10</v>
      </c>
      <c r="B34" s="314">
        <f>BILANS!B31</f>
        <v>415621535.08999997</v>
      </c>
      <c r="C34" s="315">
        <f t="shared" si="70"/>
        <v>0.25794952401352211</v>
      </c>
      <c r="D34" s="467">
        <f>BILANS!C31</f>
        <v>463643154.29954386</v>
      </c>
      <c r="E34" s="520">
        <f t="shared" si="71"/>
        <v>0.43083479283885873</v>
      </c>
      <c r="F34" s="314">
        <f>BILANS!D31</f>
        <v>499759906.71385527</v>
      </c>
      <c r="G34" s="315">
        <f t="shared" si="72"/>
        <v>0.61093073964652134</v>
      </c>
      <c r="H34" s="467">
        <f>BILANS!E31</f>
        <v>335646920.47000003</v>
      </c>
      <c r="I34" s="514">
        <f t="shared" si="73"/>
        <v>0.52474077424984578</v>
      </c>
      <c r="J34" s="314">
        <f>BILANS!F31</f>
        <v>330396035.10000002</v>
      </c>
      <c r="K34" s="315">
        <f t="shared" si="74"/>
        <v>0.58048418040948513</v>
      </c>
      <c r="L34" s="467">
        <f>BILANS!G31</f>
        <v>324036818.65999997</v>
      </c>
      <c r="M34" s="520">
        <f t="shared" si="75"/>
        <v>0.53371730621570501</v>
      </c>
      <c r="N34" s="314">
        <f>BILANS!H31</f>
        <v>310230535.93447173</v>
      </c>
      <c r="O34" s="315">
        <f t="shared" si="76"/>
        <v>0.69270580579286545</v>
      </c>
      <c r="P34" s="467">
        <f>BILANS!I31</f>
        <v>220133760.53062809</v>
      </c>
      <c r="Q34" s="514">
        <f t="shared" si="77"/>
        <v>0.10873118617035105</v>
      </c>
      <c r="R34" s="314">
        <f>BILANS!J31</f>
        <v>209047353.45999998</v>
      </c>
      <c r="S34" s="315">
        <f t="shared" si="78"/>
        <v>-1.7454086300051519E-2</v>
      </c>
      <c r="T34" s="467">
        <f>BILANS!K31</f>
        <v>211275453.00999999</v>
      </c>
      <c r="U34" s="520">
        <f t="shared" si="79"/>
        <v>-9.2965215364779086E-2</v>
      </c>
      <c r="V34" s="314">
        <f>BILANS!L31</f>
        <v>183274928.74000001</v>
      </c>
      <c r="W34" s="315">
        <f t="shared" si="80"/>
        <v>-8.2621842112569399E-2</v>
      </c>
      <c r="X34" s="467">
        <f>BILANS!M31</f>
        <v>198545655.85999998</v>
      </c>
      <c r="Y34" s="514">
        <f t="shared" si="81"/>
        <v>0.11641483050465018</v>
      </c>
      <c r="Z34" s="314">
        <f>BILANS!N31</f>
        <v>212760900.57999998</v>
      </c>
      <c r="AA34" s="315">
        <f t="shared" si="82"/>
        <v>0.2093786467791956</v>
      </c>
      <c r="AB34" s="467">
        <f>BILANS!O31</f>
        <v>232929824.28999999</v>
      </c>
      <c r="AC34" s="468">
        <f t="shared" si="83"/>
        <v>0.18303791258398316</v>
      </c>
      <c r="AD34" s="485">
        <f>BILANS!P31</f>
        <v>199781221.26000002</v>
      </c>
      <c r="AE34" s="315">
        <f t="shared" si="84"/>
        <v>0.12068862472942921</v>
      </c>
      <c r="AF34" s="467">
        <f>BILANS!Q31</f>
        <v>177842187.72</v>
      </c>
      <c r="AG34" s="514">
        <f t="shared" si="85"/>
        <v>0.17322657023011367</v>
      </c>
      <c r="AH34" s="314">
        <f>BILANS!R31</f>
        <v>175925795.56999999</v>
      </c>
      <c r="AI34" s="315">
        <f t="shared" si="101"/>
        <v>-1.0193362368550174E-3</v>
      </c>
      <c r="AJ34" s="467">
        <f>BILANS!S31</f>
        <v>196891259.20000002</v>
      </c>
      <c r="AK34" s="468">
        <f t="shared" si="86"/>
        <v>2.3036775443174395E-2</v>
      </c>
      <c r="AL34" s="485">
        <f>BILANS!T31</f>
        <v>178266484.41999999</v>
      </c>
      <c r="AM34" s="315">
        <f t="shared" si="87"/>
        <v>1.6270096324753958E-2</v>
      </c>
      <c r="AN34" s="467">
        <f>BILANS!U31</f>
        <v>151583839.16</v>
      </c>
      <c r="AO34" s="468">
        <f t="shared" si="88"/>
        <v>-2.5434388183650514E-2</v>
      </c>
      <c r="AP34" s="314">
        <f>BILANS!V31</f>
        <v>176105306.08999997</v>
      </c>
      <c r="AQ34" s="315">
        <f t="shared" si="102"/>
        <v>2.7297393093389077E-2</v>
      </c>
      <c r="AR34" s="467">
        <f>BILANS!W31</f>
        <v>192457655.41</v>
      </c>
      <c r="AS34" s="468">
        <f t="shared" si="89"/>
        <v>0.17333667580864343</v>
      </c>
      <c r="AT34" s="485">
        <f>BILANS!X31</f>
        <v>175412506.05000001</v>
      </c>
      <c r="AU34" s="315">
        <f t="shared" si="90"/>
        <v>0.13438042302388986</v>
      </c>
      <c r="AV34" s="467">
        <f>BILANS!Y31</f>
        <v>155539901.38999999</v>
      </c>
      <c r="AW34" s="468">
        <f t="shared" si="91"/>
        <v>4.2688517720521624E-2</v>
      </c>
      <c r="AX34" s="314">
        <f>BILANS!Z31</f>
        <v>171425827.87999997</v>
      </c>
      <c r="AY34" s="315">
        <f t="shared" si="103"/>
        <v>4.0046905193784843E-2</v>
      </c>
      <c r="AZ34" s="467">
        <f>BILANS!AA31</f>
        <v>164025943.59999996</v>
      </c>
      <c r="BA34" s="468">
        <f t="shared" si="92"/>
        <v>-4.8245327248914505E-2</v>
      </c>
      <c r="BB34" s="485">
        <f>BILANS!AB31</f>
        <v>154632874.90664482</v>
      </c>
      <c r="BC34" s="315">
        <f t="shared" si="104"/>
        <v>7.2973442252862508E-2</v>
      </c>
      <c r="BD34" s="467">
        <f>BILANS!AC31</f>
        <v>149171971.06000003</v>
      </c>
      <c r="BE34" s="468">
        <f t="shared" si="51"/>
        <v>-8.7651068794253328E-3</v>
      </c>
      <c r="BF34" s="314">
        <f>BILANS!AD31</f>
        <v>164825093.00679988</v>
      </c>
      <c r="BG34" s="315">
        <f t="shared" si="93"/>
        <v>6.8648884272953792E-2</v>
      </c>
      <c r="BH34" s="306">
        <f>BILANS!AE31</f>
        <v>172340570.83836144</v>
      </c>
      <c r="BI34" s="307">
        <f t="shared" si="93"/>
        <v>8.6275622176368971E-2</v>
      </c>
      <c r="BJ34" s="314">
        <f>BILANS!AF31</f>
        <v>144116218.36787573</v>
      </c>
      <c r="BK34" s="315">
        <f t="shared" si="94"/>
        <v>8.6381772279242819E-2</v>
      </c>
      <c r="BL34" s="285">
        <f>BILANS!AG31</f>
        <v>150491041.11981118</v>
      </c>
      <c r="BM34" s="308">
        <f t="shared" si="105"/>
        <v>4.334102568471887E-2</v>
      </c>
      <c r="BN34" s="314">
        <f>BILANS!AH31</f>
        <v>154236901.78550762</v>
      </c>
      <c r="BO34" s="315">
        <f t="shared" si="95"/>
        <v>-1.6805309060901719E-2</v>
      </c>
      <c r="BP34" s="306">
        <f>BILANS!AI31</f>
        <v>158652709.60704669</v>
      </c>
      <c r="BQ34" s="307">
        <f t="shared" si="96"/>
        <v>-3.4837548480127212E-2</v>
      </c>
      <c r="BR34" s="314">
        <f>R16</f>
        <v>132657065.90926875</v>
      </c>
      <c r="BS34" s="315">
        <f t="shared" si="97"/>
        <v>2.3045618386094979E-3</v>
      </c>
      <c r="BT34" s="285">
        <f>BILANS!AK31</f>
        <v>144239551.03370696</v>
      </c>
      <c r="BU34" s="308">
        <f t="shared" si="98"/>
        <v>1.3005927750365354E-2</v>
      </c>
      <c r="BV34" s="314">
        <f>BILANS!AL31</f>
        <v>156873204.47</v>
      </c>
      <c r="BW34" s="315">
        <f t="shared" si="99"/>
        <v>-1.7931440947905108E-2</v>
      </c>
      <c r="BX34" s="306">
        <f>BILANS!AM31</f>
        <v>164379280.77000001</v>
      </c>
      <c r="BY34" s="307">
        <f t="shared" si="100"/>
        <v>-7.4172194133768854E-2</v>
      </c>
      <c r="BZ34" s="314">
        <f>BILANS!AN31</f>
        <v>132352052.41999999</v>
      </c>
      <c r="CA34" s="285">
        <f>BILANS!AO31</f>
        <v>142387667.31999999</v>
      </c>
      <c r="CB34" s="314">
        <f>BILANS!AP31</f>
        <v>159737528.53</v>
      </c>
      <c r="CC34" s="323">
        <v>177548437.97999999</v>
      </c>
      <c r="CD34" s="318">
        <v>150810844.47</v>
      </c>
      <c r="CE34" s="285">
        <v>134620425.38</v>
      </c>
      <c r="CF34" s="286">
        <v>144655345.81</v>
      </c>
      <c r="CG34" s="323">
        <v>151643464.43000001</v>
      </c>
      <c r="CH34" s="286">
        <v>118058577.06</v>
      </c>
      <c r="CI34" s="285">
        <v>102009833.33</v>
      </c>
      <c r="CJ34" s="286">
        <v>112941052.94</v>
      </c>
      <c r="CK34" s="309">
        <v>133617498.59</v>
      </c>
      <c r="CL34" s="286">
        <v>101922575.65000001</v>
      </c>
      <c r="CM34" s="285">
        <v>96152524.079999998</v>
      </c>
      <c r="CN34" s="286">
        <v>112323269.52</v>
      </c>
      <c r="CO34" s="285">
        <v>114807298.19</v>
      </c>
    </row>
    <row r="35" spans="1:93" ht="27.9" customHeight="1">
      <c r="A35" s="499" t="s">
        <v>11</v>
      </c>
      <c r="B35" s="314">
        <f>BILANS!B41</f>
        <v>520092677.29999995</v>
      </c>
      <c r="C35" s="315">
        <f t="shared" si="70"/>
        <v>0.32860604554246398</v>
      </c>
      <c r="D35" s="467">
        <f>BILANS!C41</f>
        <v>475013773.58999997</v>
      </c>
      <c r="E35" s="520">
        <f t="shared" si="71"/>
        <v>0.25909868488492727</v>
      </c>
      <c r="F35" s="314">
        <f>BILANS!D41</f>
        <v>462806716.82999998</v>
      </c>
      <c r="G35" s="315">
        <f t="shared" si="72"/>
        <v>0.2751688518088875</v>
      </c>
      <c r="H35" s="467">
        <f>BILANS!E41</f>
        <v>436189404.59000003</v>
      </c>
      <c r="I35" s="514">
        <f t="shared" si="73"/>
        <v>0.34507291511182525</v>
      </c>
      <c r="J35" s="314">
        <f>BILANS!F41</f>
        <v>391457406.84000003</v>
      </c>
      <c r="K35" s="315">
        <f t="shared" si="74"/>
        <v>0.21629139640794848</v>
      </c>
      <c r="L35" s="467">
        <f>BILANS!G41</f>
        <v>377264927.12</v>
      </c>
      <c r="M35" s="520">
        <f t="shared" si="75"/>
        <v>0.179830763233783</v>
      </c>
      <c r="N35" s="314">
        <f>BILANS!H41</f>
        <v>362937595.42000002</v>
      </c>
      <c r="O35" s="315">
        <f t="shared" si="76"/>
        <v>0.14523218528155524</v>
      </c>
      <c r="P35" s="467">
        <f>BILANS!I41</f>
        <v>324286809.80000001</v>
      </c>
      <c r="Q35" s="514">
        <f t="shared" si="77"/>
        <v>1.2355751013436E-2</v>
      </c>
      <c r="R35" s="314">
        <f>BILANS!J41</f>
        <v>321845084.15999997</v>
      </c>
      <c r="S35" s="315">
        <f t="shared" si="78"/>
        <v>1.0757349110027459E-2</v>
      </c>
      <c r="T35" s="467">
        <f>BILANS!K41</f>
        <v>319761900.5</v>
      </c>
      <c r="U35" s="520">
        <f t="shared" si="79"/>
        <v>4.4291429813326344E-2</v>
      </c>
      <c r="V35" s="314">
        <f>BILANS!L41</f>
        <v>316911801.88999999</v>
      </c>
      <c r="W35" s="315">
        <f t="shared" si="80"/>
        <v>7.4027333830877451E-2</v>
      </c>
      <c r="X35" s="467">
        <f>BILANS!M41</f>
        <v>320328905.59999996</v>
      </c>
      <c r="Y35" s="514">
        <f t="shared" si="81"/>
        <v>9.2226495195179448E-2</v>
      </c>
      <c r="Z35" s="314">
        <f>BILANS!N41</f>
        <v>318419731.94</v>
      </c>
      <c r="AA35" s="315">
        <f t="shared" si="82"/>
        <v>0.10217526299184643</v>
      </c>
      <c r="AB35" s="467">
        <f>BILANS!O41</f>
        <v>306199870.43000001</v>
      </c>
      <c r="AC35" s="468">
        <f t="shared" si="83"/>
        <v>9.2354083411520849E-2</v>
      </c>
      <c r="AD35" s="485">
        <f>BILANS!P41</f>
        <v>295068655.98999995</v>
      </c>
      <c r="AE35" s="315">
        <f t="shared" si="84"/>
        <v>8.7460140392706887E-2</v>
      </c>
      <c r="AF35" s="467">
        <f>BILANS!Q41</f>
        <v>293280658.37000006</v>
      </c>
      <c r="AG35" s="514">
        <f t="shared" si="85"/>
        <v>8.8503312136654744E-2</v>
      </c>
      <c r="AH35" s="314">
        <f>BILANS!R41</f>
        <v>288901178.08999997</v>
      </c>
      <c r="AI35" s="315">
        <f t="shared" si="101"/>
        <v>8.4221377334327219E-2</v>
      </c>
      <c r="AJ35" s="467">
        <f>BILANS!S41</f>
        <v>280311919.99000001</v>
      </c>
      <c r="AK35" s="468">
        <f t="shared" si="86"/>
        <v>0.11246072743972357</v>
      </c>
      <c r="AL35" s="485">
        <f>BILANS!T41</f>
        <v>271337444.95999998</v>
      </c>
      <c r="AM35" s="315">
        <f t="shared" si="87"/>
        <v>0.13102203051032357</v>
      </c>
      <c r="AN35" s="467">
        <f>BILANS!U41</f>
        <v>269434787.29000002</v>
      </c>
      <c r="AO35" s="468">
        <f t="shared" si="88"/>
        <v>0.14429387864322263</v>
      </c>
      <c r="AP35" s="314">
        <f>BILANS!V41</f>
        <v>266459584.84999996</v>
      </c>
      <c r="AQ35" s="315">
        <f t="shared" si="102"/>
        <v>0.13165304656957399</v>
      </c>
      <c r="AR35" s="467">
        <f>BILANS!W41</f>
        <v>251974665.78</v>
      </c>
      <c r="AS35" s="468">
        <f t="shared" si="89"/>
        <v>0.14061930110012288</v>
      </c>
      <c r="AT35" s="485">
        <f>BILANS!X41</f>
        <v>239904650.52000001</v>
      </c>
      <c r="AU35" s="315">
        <f t="shared" si="90"/>
        <v>0.10167403909350026</v>
      </c>
      <c r="AV35" s="467">
        <f>BILANS!Y41</f>
        <v>235459432.50999999</v>
      </c>
      <c r="AW35" s="468">
        <f t="shared" si="91"/>
        <v>0.10098216105885882</v>
      </c>
      <c r="AX35" s="314">
        <f>BILANS!Z41</f>
        <v>235460493.53</v>
      </c>
      <c r="AY35" s="315">
        <f t="shared" si="103"/>
        <v>8.5878189696818152E-2</v>
      </c>
      <c r="AZ35" s="467">
        <f>BILANS!AA41</f>
        <v>220910399.76000002</v>
      </c>
      <c r="BA35" s="468">
        <f t="shared" si="92"/>
        <v>1.2742257669123846E-2</v>
      </c>
      <c r="BB35" s="485">
        <f>BILANS!AB41</f>
        <v>217763732.29000002</v>
      </c>
      <c r="BC35" s="315">
        <f t="shared" si="104"/>
        <v>2.7644872581290114E-2</v>
      </c>
      <c r="BD35" s="467">
        <f>BILANS!AC41</f>
        <v>213863076.84</v>
      </c>
      <c r="BE35" s="468">
        <f t="shared" si="51"/>
        <v>-4.8891451131164443E-3</v>
      </c>
      <c r="BF35" s="314">
        <f>BILANS!AD41</f>
        <v>216838772.30809984</v>
      </c>
      <c r="BG35" s="315">
        <f t="shared" si="93"/>
        <v>9.326491606045817E-3</v>
      </c>
      <c r="BH35" s="306">
        <f>BILANS!AE41</f>
        <v>218130919.3796615</v>
      </c>
      <c r="BI35" s="307">
        <f t="shared" si="93"/>
        <v>1.8757204159360441E-2</v>
      </c>
      <c r="BJ35" s="314">
        <f>BILANS!AF41</f>
        <v>211905628.1991756</v>
      </c>
      <c r="BK35" s="315">
        <f t="shared" si="94"/>
        <v>5.4318829016326564E-3</v>
      </c>
      <c r="BL35" s="285">
        <f>BILANS!AG41</f>
        <v>214913821.70111117</v>
      </c>
      <c r="BM35" s="308">
        <f t="shared" si="105"/>
        <v>4.5195217858253089E-2</v>
      </c>
      <c r="BN35" s="314">
        <f>BILANS!AH41</f>
        <v>214835114.41680759</v>
      </c>
      <c r="BO35" s="315">
        <f t="shared" si="95"/>
        <v>2.8434028967699199E-2</v>
      </c>
      <c r="BP35" s="306">
        <f>BILANS!AI41</f>
        <v>214114725.75514674</v>
      </c>
      <c r="BQ35" s="307">
        <f t="shared" si="96"/>
        <v>5.5300555520755301E-2</v>
      </c>
      <c r="BR35" s="314">
        <f>R17</f>
        <v>210760800.21216869</v>
      </c>
      <c r="BS35" s="315">
        <f t="shared" si="97"/>
        <v>5.0603027119744848E-2</v>
      </c>
      <c r="BT35" s="285">
        <f>BILANS!AK41</f>
        <v>205620747.23370701</v>
      </c>
      <c r="BU35" s="308">
        <f t="shared" si="98"/>
        <v>1.5687472030433192E-2</v>
      </c>
      <c r="BV35" s="314">
        <f>BILANS!AL41</f>
        <v>208895377.20999998</v>
      </c>
      <c r="BW35" s="315">
        <f t="shared" si="99"/>
        <v>-8.3556331761047709E-5</v>
      </c>
      <c r="BX35" s="306">
        <f>BILANS!AM41</f>
        <v>202894544.72</v>
      </c>
      <c r="BY35" s="307">
        <f t="shared" si="100"/>
        <v>1.3756579685930692E-3</v>
      </c>
      <c r="BZ35" s="314">
        <f>BILANS!AN41</f>
        <v>200609359.35999998</v>
      </c>
      <c r="CA35" s="285">
        <f>BILANS!AO41</f>
        <v>202444898.54999998</v>
      </c>
      <c r="CB35" s="314">
        <f>BILANS!AP41</f>
        <v>208912833.19999999</v>
      </c>
      <c r="CC35" s="323">
        <v>202615814.66</v>
      </c>
      <c r="CD35" s="318">
        <v>199994498.16</v>
      </c>
      <c r="CE35" s="285">
        <v>198485220.43000001</v>
      </c>
      <c r="CF35" s="286">
        <v>199595917.19999999</v>
      </c>
      <c r="CG35" s="323">
        <v>190663379.93000001</v>
      </c>
      <c r="CH35" s="286">
        <v>184951188.33000001</v>
      </c>
      <c r="CI35" s="285">
        <v>188390898.59999999</v>
      </c>
      <c r="CJ35" s="286">
        <v>187532240.99000001</v>
      </c>
      <c r="CK35" s="309">
        <v>182270780.52000001</v>
      </c>
      <c r="CL35" s="286">
        <v>179126740.28</v>
      </c>
      <c r="CM35" s="285">
        <v>176699557.36000001</v>
      </c>
      <c r="CN35" s="286">
        <v>177930652.08000001</v>
      </c>
      <c r="CO35" s="285">
        <v>175413279.21000001</v>
      </c>
    </row>
    <row r="36" spans="1:93" ht="27.9" customHeight="1">
      <c r="A36" s="499" t="s">
        <v>12</v>
      </c>
      <c r="B36" s="314">
        <f>BILANS!B49</f>
        <v>28772189.469999999</v>
      </c>
      <c r="C36" s="315">
        <f t="shared" si="70"/>
        <v>-0.22147447151740185</v>
      </c>
      <c r="D36" s="467">
        <f>BILANS!C49</f>
        <v>29233654.3646871</v>
      </c>
      <c r="E36" s="520">
        <f t="shared" si="71"/>
        <v>-0.20975950738531957</v>
      </c>
      <c r="F36" s="314">
        <f>BILANS!D49</f>
        <v>29403823.575128198</v>
      </c>
      <c r="G36" s="315">
        <f t="shared" si="72"/>
        <v>-0.23567048971592863</v>
      </c>
      <c r="H36" s="467">
        <f>BILANS!E49</f>
        <v>30591728.73</v>
      </c>
      <c r="I36" s="514">
        <f t="shared" si="73"/>
        <v>-0.18177470651530414</v>
      </c>
      <c r="J36" s="314">
        <f>BILANS!F49</f>
        <v>36957284.530000001</v>
      </c>
      <c r="K36" s="315">
        <f t="shared" si="74"/>
        <v>-1.854080117368051E-2</v>
      </c>
      <c r="L36" s="467">
        <f>BILANS!G49</f>
        <v>36993364.220000006</v>
      </c>
      <c r="M36" s="520">
        <f t="shared" si="75"/>
        <v>-5.0413506962924126E-2</v>
      </c>
      <c r="N36" s="314">
        <f>BILANS!H49</f>
        <v>38470088.07</v>
      </c>
      <c r="O36" s="315">
        <f t="shared" si="76"/>
        <v>-1.2268019059112567E-2</v>
      </c>
      <c r="P36" s="467">
        <f>BILANS!I49</f>
        <v>37387904.008338004</v>
      </c>
      <c r="Q36" s="514">
        <f t="shared" si="77"/>
        <v>-4.344577839313124E-2</v>
      </c>
      <c r="R36" s="314">
        <f>BILANS!J49</f>
        <v>37655446.680000007</v>
      </c>
      <c r="S36" s="315">
        <f t="shared" si="78"/>
        <v>-5.8968676620903993E-2</v>
      </c>
      <c r="T36" s="467">
        <f>BILANS!K49</f>
        <v>38957340.370000005</v>
      </c>
      <c r="U36" s="520">
        <f t="shared" si="79"/>
        <v>-5.3687233794183831E-2</v>
      </c>
      <c r="V36" s="314">
        <f>BILANS!L49</f>
        <v>38947901.670000002</v>
      </c>
      <c r="W36" s="315">
        <f t="shared" si="80"/>
        <v>-6.8469201919375444E-2</v>
      </c>
      <c r="X36" s="467">
        <f>BILANS!M49</f>
        <v>39086026.869999997</v>
      </c>
      <c r="Y36" s="514">
        <f t="shared" si="81"/>
        <v>-0.10481899794406679</v>
      </c>
      <c r="Z36" s="314">
        <f>BILANS!N49</f>
        <v>40015083.18</v>
      </c>
      <c r="AA36" s="315">
        <f t="shared" si="82"/>
        <v>-9.7706372766411254E-2</v>
      </c>
      <c r="AB36" s="467">
        <f>BILANS!O49</f>
        <v>41167510.109999999</v>
      </c>
      <c r="AC36" s="468">
        <f t="shared" si="83"/>
        <v>-8.358416411991243E-2</v>
      </c>
      <c r="AD36" s="485">
        <f>BILANS!P49</f>
        <v>41810643.030000001</v>
      </c>
      <c r="AE36" s="315">
        <f t="shared" si="84"/>
        <v>-7.6162589446394757E-2</v>
      </c>
      <c r="AF36" s="467">
        <f>BILANS!Q49</f>
        <v>43662708.189999998</v>
      </c>
      <c r="AG36" s="514">
        <f t="shared" si="85"/>
        <v>-4.6398313289391369E-2</v>
      </c>
      <c r="AH36" s="314">
        <f>BILANS!R49</f>
        <v>44348183.309999995</v>
      </c>
      <c r="AI36" s="315">
        <f t="shared" si="101"/>
        <v>-0.11032676278219433</v>
      </c>
      <c r="AJ36" s="467">
        <f>BILANS!S49</f>
        <v>44922303.280000001</v>
      </c>
      <c r="AK36" s="468">
        <f t="shared" si="86"/>
        <v>-9.7050508484326059E-2</v>
      </c>
      <c r="AL36" s="485">
        <f>BILANS!T49</f>
        <v>45257577.310000002</v>
      </c>
      <c r="AM36" s="315">
        <f t="shared" si="87"/>
        <v>-0.12072916991825022</v>
      </c>
      <c r="AN36" s="467">
        <f>BILANS!U49</f>
        <v>45787154.950000003</v>
      </c>
      <c r="AO36" s="468">
        <f t="shared" si="88"/>
        <v>-0.13748311681000613</v>
      </c>
      <c r="AP36" s="314">
        <f>BILANS!V49</f>
        <v>49847721</v>
      </c>
      <c r="AQ36" s="315">
        <f t="shared" si="102"/>
        <v>-8.6005702787562033E-2</v>
      </c>
      <c r="AR36" s="467">
        <f>BILANS!W49</f>
        <v>49750626.920000002</v>
      </c>
      <c r="AS36" s="468">
        <f t="shared" si="89"/>
        <v>-5.3652490981207279E-2</v>
      </c>
      <c r="AT36" s="485">
        <f>BILANS!X49</f>
        <v>51471714.700000003</v>
      </c>
      <c r="AU36" s="315">
        <f t="shared" si="90"/>
        <v>2.6818122520184229E-2</v>
      </c>
      <c r="AV36" s="467">
        <f>BILANS!Y49</f>
        <v>53085517.329999998</v>
      </c>
      <c r="AW36" s="468">
        <f t="shared" si="91"/>
        <v>7.2841503546508646E-2</v>
      </c>
      <c r="AX36" s="314">
        <f>BILANS!Z49</f>
        <v>54538328.25</v>
      </c>
      <c r="AY36" s="315">
        <f t="shared" si="103"/>
        <v>0.15200291997207183</v>
      </c>
      <c r="AZ36" s="467">
        <f>BILANS!AA49</f>
        <v>52571202.909999996</v>
      </c>
      <c r="BA36" s="468">
        <f t="shared" si="92"/>
        <v>0.15028603267800267</v>
      </c>
      <c r="BB36" s="485">
        <f>BILANS!AB49</f>
        <v>50127392.155555002</v>
      </c>
      <c r="BC36" s="315">
        <f t="shared" si="104"/>
        <v>0.21122169663694845</v>
      </c>
      <c r="BD36" s="467">
        <f>BILANS!AC49</f>
        <v>49481230.129999995</v>
      </c>
      <c r="BE36" s="468">
        <f t="shared" si="51"/>
        <v>0.23638083946159494</v>
      </c>
      <c r="BF36" s="314">
        <f>BILANS!AD49</f>
        <v>47342178.829999998</v>
      </c>
      <c r="BG36" s="315">
        <f t="shared" si="93"/>
        <v>0.23758626010897754</v>
      </c>
      <c r="BH36" s="306">
        <f>BILANS!AE49</f>
        <v>45702722.120000005</v>
      </c>
      <c r="BI36" s="307">
        <f t="shared" si="93"/>
        <v>0.15866205520167709</v>
      </c>
      <c r="BJ36" s="314">
        <f>BILANS!AF49</f>
        <v>41385810.950000003</v>
      </c>
      <c r="BK36" s="315">
        <f t="shared" si="94"/>
        <v>-1.8384596970375089E-2</v>
      </c>
      <c r="BL36" s="285">
        <f>BILANS!AG49</f>
        <v>40021026.329999998</v>
      </c>
      <c r="BM36" s="308">
        <f t="shared" si="105"/>
        <v>-8.1388475780296177E-2</v>
      </c>
      <c r="BN36" s="314">
        <f>BILANS!AH49</f>
        <v>38253639.649999999</v>
      </c>
      <c r="BO36" s="315">
        <f t="shared" si="95"/>
        <v>-0.21135729873854847</v>
      </c>
      <c r="BP36" s="306">
        <f>BILANS!AI49</f>
        <v>39444393.569999993</v>
      </c>
      <c r="BQ36" s="307">
        <f t="shared" si="96"/>
        <v>-0.11510975280871261</v>
      </c>
      <c r="BR36" s="314">
        <f>R18</f>
        <v>42160922.518399999</v>
      </c>
      <c r="BS36" s="315">
        <f t="shared" si="97"/>
        <v>-8.3110431901797677E-2</v>
      </c>
      <c r="BT36" s="285">
        <f>BILANS!AK49</f>
        <v>43566867.25</v>
      </c>
      <c r="BU36" s="308">
        <f t="shared" si="98"/>
        <v>-0.16882101226944546</v>
      </c>
      <c r="BV36" s="314">
        <f>BILANS!AL49</f>
        <v>48505666.240000002</v>
      </c>
      <c r="BW36" s="315">
        <f t="shared" si="99"/>
        <v>-2.9032711783294474E-4</v>
      </c>
      <c r="BX36" s="306">
        <f>BILANS!AM49</f>
        <v>44575464.240000002</v>
      </c>
      <c r="BY36" s="307">
        <f t="shared" si="100"/>
        <v>-6.8556541519335545E-2</v>
      </c>
      <c r="BZ36" s="314">
        <f>BILANS!AN49</f>
        <v>45982552.299999997</v>
      </c>
      <c r="CA36" s="285">
        <f>BILANS!AO49</f>
        <v>52415746.660000004</v>
      </c>
      <c r="CB36" s="314">
        <f>BILANS!AP49</f>
        <v>48519752.840000004</v>
      </c>
      <c r="CC36" s="323">
        <v>47856328.619999997</v>
      </c>
      <c r="CD36" s="318">
        <v>47539284</v>
      </c>
      <c r="CE36" s="285">
        <v>50911242.560000002</v>
      </c>
      <c r="CF36" s="286">
        <v>49231912.090000004</v>
      </c>
      <c r="CG36" s="323">
        <v>52432512.659999996</v>
      </c>
      <c r="CH36" s="286">
        <v>46767409.159999996</v>
      </c>
      <c r="CI36" s="285">
        <v>30758018.75</v>
      </c>
      <c r="CJ36" s="286">
        <v>30029880.34</v>
      </c>
      <c r="CK36" s="309">
        <v>32036804.32</v>
      </c>
      <c r="CL36" s="286">
        <v>30824330.969999999</v>
      </c>
      <c r="CM36" s="285">
        <v>34567971.850000001</v>
      </c>
      <c r="CN36" s="286">
        <v>34722093.350000001</v>
      </c>
      <c r="CO36" s="285">
        <v>38574615.009999998</v>
      </c>
    </row>
    <row r="37" spans="1:93" ht="27.9" customHeight="1">
      <c r="A37" s="499" t="s">
        <v>13</v>
      </c>
      <c r="B37" s="314">
        <f>BILANS!B59</f>
        <v>122590598.54000001</v>
      </c>
      <c r="C37" s="315">
        <f t="shared" si="70"/>
        <v>-0.18889447247529134</v>
      </c>
      <c r="D37" s="467">
        <f>BILANS!C59</f>
        <v>215565530.53000006</v>
      </c>
      <c r="E37" s="520">
        <f t="shared" si="71"/>
        <v>0.34792858452332842</v>
      </c>
      <c r="F37" s="314">
        <f>BILANS!D59</f>
        <v>264655858.42999995</v>
      </c>
      <c r="G37" s="315">
        <f t="shared" si="72"/>
        <v>0.6656201359642735</v>
      </c>
      <c r="H37" s="467">
        <f>BILANS!E59</f>
        <v>116215532.32000001</v>
      </c>
      <c r="I37" s="514">
        <f t="shared" si="73"/>
        <v>9.0595665536692183E-2</v>
      </c>
      <c r="J37" s="314">
        <f>BILANS!F59</f>
        <v>151140134.51999998</v>
      </c>
      <c r="K37" s="315">
        <f t="shared" si="74"/>
        <v>0.63926031662480676</v>
      </c>
      <c r="L37" s="467">
        <f>BILANS!G59</f>
        <v>159923554.55999997</v>
      </c>
      <c r="M37" s="520">
        <f t="shared" si="75"/>
        <v>0.70472321010763572</v>
      </c>
      <c r="N37" s="314">
        <f>BILANS!H59</f>
        <v>158893287.08000001</v>
      </c>
      <c r="O37" s="315">
        <f t="shared" si="76"/>
        <v>1.318369824688538</v>
      </c>
      <c r="P37" s="467">
        <f>BILANS!I59</f>
        <v>106561520.453879</v>
      </c>
      <c r="Q37" s="514">
        <f t="shared" si="77"/>
        <v>0.3729422519583101</v>
      </c>
      <c r="R37" s="314">
        <f>BILANS!J59</f>
        <v>92200203.340000004</v>
      </c>
      <c r="S37" s="315">
        <f t="shared" si="78"/>
        <v>1.8712345836116029E-2</v>
      </c>
      <c r="T37" s="467">
        <f>BILANS!K59</f>
        <v>93812035.650000006</v>
      </c>
      <c r="U37" s="520">
        <f t="shared" si="79"/>
        <v>-0.21489050073053506</v>
      </c>
      <c r="V37" s="314">
        <f>BILANS!L59</f>
        <v>68536643.889999986</v>
      </c>
      <c r="W37" s="315">
        <f t="shared" si="80"/>
        <v>-0.28195261124803639</v>
      </c>
      <c r="X37" s="467">
        <f>BILANS!M59</f>
        <v>77615442.530000001</v>
      </c>
      <c r="Y37" s="514">
        <f t="shared" si="81"/>
        <v>4.3776587443834503E-2</v>
      </c>
      <c r="Z37" s="314">
        <f>BILANS!N59</f>
        <v>90506612.310000002</v>
      </c>
      <c r="AA37" s="315">
        <f t="shared" si="82"/>
        <v>0.16089148978437517</v>
      </c>
      <c r="AB37" s="467">
        <f>BILANS!O59</f>
        <v>119489110.42</v>
      </c>
      <c r="AC37" s="468">
        <f t="shared" si="83"/>
        <v>7.2998287759102665E-2</v>
      </c>
      <c r="AD37" s="485">
        <f>BILANS!P59</f>
        <v>95448636.069999993</v>
      </c>
      <c r="AE37" s="315">
        <f t="shared" si="84"/>
        <v>-6.6998434180870259E-2</v>
      </c>
      <c r="AF37" s="467">
        <f>BILANS!Q59</f>
        <v>74360206.449999988</v>
      </c>
      <c r="AG37" s="514">
        <f t="shared" si="85"/>
        <v>-3.8209571146574639E-2</v>
      </c>
      <c r="AH37" s="314">
        <f>BILANS!R59</f>
        <v>77963025.060000017</v>
      </c>
      <c r="AI37" s="315">
        <f t="shared" si="101"/>
        <v>-0.24469803593465145</v>
      </c>
      <c r="AJ37" s="467">
        <f>BILANS!S59</f>
        <v>111360019.66</v>
      </c>
      <c r="AK37" s="468">
        <f t="shared" si="86"/>
        <v>-0.17794270727292161</v>
      </c>
      <c r="AL37" s="485">
        <f>BILANS!T59</f>
        <v>102302760.86000001</v>
      </c>
      <c r="AM37" s="315">
        <f t="shared" si="87"/>
        <v>-0.22813662338735863</v>
      </c>
      <c r="AN37" s="467">
        <f>BILANS!U59</f>
        <v>77314354.790000007</v>
      </c>
      <c r="AO37" s="468">
        <f t="shared" si="88"/>
        <v>-0.27911097843994359</v>
      </c>
      <c r="AP37" s="314">
        <f>BILANS!V59</f>
        <v>103221001.36</v>
      </c>
      <c r="AQ37" s="315">
        <f t="shared" si="102"/>
        <v>-0.15153335966685644</v>
      </c>
      <c r="AR37" s="467">
        <f>BILANS!W59</f>
        <v>135465034.66999999</v>
      </c>
      <c r="AS37" s="468">
        <f t="shared" si="89"/>
        <v>2.0319095419837563E-2</v>
      </c>
      <c r="AT37" s="485">
        <f>BILANS!X59</f>
        <v>132539985.64999998</v>
      </c>
      <c r="AU37" s="315">
        <f t="shared" si="90"/>
        <v>2.7566883372578177E-2</v>
      </c>
      <c r="AV37" s="467">
        <f>BILANS!Y59</f>
        <v>107248622.84999999</v>
      </c>
      <c r="AW37" s="468">
        <f t="shared" si="91"/>
        <v>-0.17535814727052601</v>
      </c>
      <c r="AX37" s="314">
        <f>BILANS!Z59</f>
        <v>121655933.72000001</v>
      </c>
      <c r="AY37" s="315">
        <f t="shared" si="103"/>
        <v>-0.15653385687318855</v>
      </c>
      <c r="AZ37" s="467">
        <f>BILANS!AA59</f>
        <v>132767322.77</v>
      </c>
      <c r="BA37" s="468">
        <f t="shared" si="92"/>
        <v>-0.10145663757195655</v>
      </c>
      <c r="BB37" s="485">
        <f>BILANS!AB59</f>
        <v>128984290.75</v>
      </c>
      <c r="BC37" s="315">
        <f t="shared" si="104"/>
        <v>5.5375493940090781E-3</v>
      </c>
      <c r="BD37" s="467">
        <f>BILANS!AC59</f>
        <v>130054789.84000003</v>
      </c>
      <c r="BE37" s="468">
        <f t="shared" si="51"/>
        <v>-0.22176365122369346</v>
      </c>
      <c r="BF37" s="314">
        <f>BILANS!AD59</f>
        <v>144233333.74000001</v>
      </c>
      <c r="BG37" s="315">
        <f t="shared" si="93"/>
        <v>0.10862511546975884</v>
      </c>
      <c r="BH37" s="306">
        <f>BILANS!AE59</f>
        <v>147758392.44</v>
      </c>
      <c r="BI37" s="307">
        <f t="shared" si="93"/>
        <v>0.11053287052013805</v>
      </c>
      <c r="BJ37" s="314">
        <f>BILANS!AF59</f>
        <v>128273967.32000001</v>
      </c>
      <c r="BK37" s="315">
        <f t="shared" si="94"/>
        <v>0.18784034918219139</v>
      </c>
      <c r="BL37" s="285">
        <f>BILANS!AG60</f>
        <v>167114771.81</v>
      </c>
      <c r="BM37" s="308">
        <f t="shared" si="105"/>
        <v>0.37779242206577046</v>
      </c>
      <c r="BN37" s="314">
        <f>BILANS!AH59</f>
        <v>130101088.03</v>
      </c>
      <c r="BO37" s="315">
        <f t="shared" si="95"/>
        <v>3.9722028614106897E-2</v>
      </c>
      <c r="BP37" s="306">
        <f>BILANS!AI59</f>
        <v>133051795.54999998</v>
      </c>
      <c r="BQ37" s="307">
        <f t="shared" si="96"/>
        <v>-6.0679271710918248E-2</v>
      </c>
      <c r="BR37" s="314">
        <f>BR32-BR35-BR36</f>
        <v>107989232.23000003</v>
      </c>
      <c r="BS37" s="315">
        <f t="shared" si="97"/>
        <v>-2.7358109113910789E-3</v>
      </c>
      <c r="BT37" s="285">
        <f>BILANS!AK59</f>
        <v>121291690.33999999</v>
      </c>
      <c r="BU37" s="308">
        <f t="shared" si="98"/>
        <v>0.18248507991069007</v>
      </c>
      <c r="BV37" s="314">
        <f>BILANS!AL59</f>
        <v>125130644.97000001</v>
      </c>
      <c r="BW37" s="315">
        <f t="shared" si="99"/>
        <v>0.1653882033585421</v>
      </c>
      <c r="BX37" s="306">
        <f>BILANS!AM59</f>
        <v>141646821.52000001</v>
      </c>
      <c r="BY37" s="307">
        <f t="shared" si="100"/>
        <v>8.5247598903115396E-2</v>
      </c>
      <c r="BZ37" s="314">
        <f>BILANS!AN59</f>
        <v>108285480.82999998</v>
      </c>
      <c r="CA37" s="285">
        <f>BILANS!AO59</f>
        <v>102573548.19999997</v>
      </c>
      <c r="CB37" s="314">
        <f>BILANS!AP59</f>
        <v>107372500.09</v>
      </c>
      <c r="CC37" s="323">
        <v>130520280.95999999</v>
      </c>
      <c r="CD37" s="318">
        <v>103617585.62</v>
      </c>
      <c r="CE37" s="285">
        <v>93807818.530000001</v>
      </c>
      <c r="CF37" s="286">
        <v>101063600.08</v>
      </c>
      <c r="CG37" s="323">
        <v>106186439.22</v>
      </c>
      <c r="CH37" s="286">
        <v>75730157.260000005</v>
      </c>
      <c r="CI37" s="285">
        <v>74830736.569999993</v>
      </c>
      <c r="CJ37" s="286">
        <v>85326363.680000007</v>
      </c>
      <c r="CK37" s="309">
        <v>107391291.83</v>
      </c>
      <c r="CL37" s="286">
        <v>82216152.840000004</v>
      </c>
      <c r="CM37" s="285">
        <v>71980175.459999993</v>
      </c>
      <c r="CN37" s="286">
        <v>86652051.269999996</v>
      </c>
      <c r="CO37" s="285">
        <v>88792232.159999996</v>
      </c>
    </row>
    <row r="38" spans="1:93" ht="27.9" customHeight="1">
      <c r="H38" s="295"/>
    </row>
    <row r="39" spans="1:93" ht="39.75" customHeight="1">
      <c r="A39" s="525" t="s">
        <v>139</v>
      </c>
      <c r="B39" s="525"/>
      <c r="C39" s="525"/>
      <c r="D39" s="525"/>
      <c r="E39" s="525"/>
      <c r="F39" s="525"/>
      <c r="G39" s="525"/>
      <c r="H39" s="525"/>
      <c r="I39" s="525"/>
      <c r="J39" s="525"/>
      <c r="K39" s="525"/>
      <c r="L39" s="525"/>
      <c r="M39" s="270"/>
    </row>
    <row r="40" spans="1:93" ht="27.9" customHeight="1">
      <c r="A40" s="500"/>
      <c r="B40" s="17" t="s">
        <v>288</v>
      </c>
      <c r="C40" s="311" t="s">
        <v>113</v>
      </c>
      <c r="D40" s="24" t="s">
        <v>285</v>
      </c>
      <c r="E40" s="521" t="s">
        <v>113</v>
      </c>
      <c r="F40" s="17" t="s">
        <v>282</v>
      </c>
      <c r="G40" s="311" t="s">
        <v>113</v>
      </c>
      <c r="H40" s="24" t="s">
        <v>279</v>
      </c>
      <c r="I40" s="300" t="s">
        <v>113</v>
      </c>
      <c r="J40" s="17" t="s">
        <v>277</v>
      </c>
      <c r="K40" s="311" t="s">
        <v>113</v>
      </c>
      <c r="L40" s="24" t="s">
        <v>274</v>
      </c>
      <c r="M40" s="521" t="s">
        <v>113</v>
      </c>
      <c r="N40" s="17" t="s">
        <v>272</v>
      </c>
      <c r="O40" s="311" t="s">
        <v>113</v>
      </c>
      <c r="P40" s="24" t="s">
        <v>269</v>
      </c>
      <c r="Q40" s="300" t="s">
        <v>113</v>
      </c>
      <c r="R40" s="17" t="s">
        <v>267</v>
      </c>
      <c r="S40" s="311" t="s">
        <v>113</v>
      </c>
      <c r="T40" s="24" t="s">
        <v>264</v>
      </c>
      <c r="U40" s="521" t="s">
        <v>113</v>
      </c>
      <c r="V40" s="17" t="s">
        <v>257</v>
      </c>
      <c r="W40" s="311" t="s">
        <v>113</v>
      </c>
      <c r="X40" s="24" t="s">
        <v>255</v>
      </c>
      <c r="Y40" s="300" t="s">
        <v>113</v>
      </c>
      <c r="Z40" s="17" t="s">
        <v>251</v>
      </c>
      <c r="AA40" s="311" t="s">
        <v>113</v>
      </c>
      <c r="AB40" s="516" t="s">
        <v>247</v>
      </c>
      <c r="AC40" s="510" t="s">
        <v>113</v>
      </c>
      <c r="AD40" s="17" t="s">
        <v>246</v>
      </c>
      <c r="AE40" s="311" t="s">
        <v>113</v>
      </c>
      <c r="AF40" s="24" t="s">
        <v>244</v>
      </c>
      <c r="AG40" s="300" t="s">
        <v>113</v>
      </c>
      <c r="AH40" s="17" t="s">
        <v>240</v>
      </c>
      <c r="AI40" s="311" t="s">
        <v>113</v>
      </c>
      <c r="AJ40" s="24" t="s">
        <v>237</v>
      </c>
      <c r="AK40" s="299" t="s">
        <v>113</v>
      </c>
      <c r="AL40" s="17" t="s">
        <v>236</v>
      </c>
      <c r="AM40" s="311" t="s">
        <v>113</v>
      </c>
      <c r="AN40" s="24" t="s">
        <v>233</v>
      </c>
      <c r="AO40" s="300" t="s">
        <v>113</v>
      </c>
      <c r="AP40" s="17" t="s">
        <v>228</v>
      </c>
      <c r="AQ40" s="311" t="s">
        <v>113</v>
      </c>
      <c r="AR40" s="24" t="s">
        <v>225</v>
      </c>
      <c r="AS40" s="299" t="s">
        <v>113</v>
      </c>
      <c r="AT40" s="17" t="s">
        <v>221</v>
      </c>
      <c r="AU40" s="311" t="s">
        <v>113</v>
      </c>
      <c r="AV40" s="24" t="s">
        <v>217</v>
      </c>
      <c r="AW40" s="300" t="s">
        <v>113</v>
      </c>
      <c r="AX40" s="17" t="s">
        <v>215</v>
      </c>
      <c r="AY40" s="311" t="s">
        <v>113</v>
      </c>
      <c r="AZ40" s="24" t="s">
        <v>212</v>
      </c>
      <c r="BA40" s="299" t="s">
        <v>113</v>
      </c>
      <c r="BB40" s="17" t="s">
        <v>209</v>
      </c>
      <c r="BC40" s="311" t="s">
        <v>113</v>
      </c>
      <c r="BD40" s="24" t="s">
        <v>207</v>
      </c>
      <c r="BE40" s="464" t="s">
        <v>113</v>
      </c>
      <c r="BF40" s="17" t="s">
        <v>204</v>
      </c>
      <c r="BG40" s="311" t="s">
        <v>113</v>
      </c>
      <c r="BH40" s="24" t="s">
        <v>202</v>
      </c>
      <c r="BI40" s="299" t="s">
        <v>113</v>
      </c>
      <c r="BJ40" s="17" t="s">
        <v>200</v>
      </c>
      <c r="BK40" s="311" t="s">
        <v>113</v>
      </c>
      <c r="BL40" s="24" t="s">
        <v>199</v>
      </c>
      <c r="BM40" s="300" t="s">
        <v>113</v>
      </c>
      <c r="BN40" s="17" t="s">
        <v>193</v>
      </c>
      <c r="BO40" s="311" t="s">
        <v>113</v>
      </c>
      <c r="BP40" s="298" t="s">
        <v>190</v>
      </c>
      <c r="BQ40" s="299" t="s">
        <v>113</v>
      </c>
      <c r="BR40" s="292" t="s">
        <v>189</v>
      </c>
      <c r="BS40" s="311" t="s">
        <v>113</v>
      </c>
      <c r="BT40" s="298" t="s">
        <v>188</v>
      </c>
      <c r="BU40" s="300" t="s">
        <v>113</v>
      </c>
      <c r="BV40" s="292" t="s">
        <v>186</v>
      </c>
      <c r="BW40" s="311" t="s">
        <v>113</v>
      </c>
      <c r="BX40" s="298" t="s">
        <v>183</v>
      </c>
      <c r="BY40" s="299" t="s">
        <v>113</v>
      </c>
      <c r="BZ40" s="292" t="s">
        <v>182</v>
      </c>
      <c r="CA40" s="298" t="s">
        <v>180</v>
      </c>
      <c r="CB40" s="292" t="s">
        <v>175</v>
      </c>
      <c r="CC40" s="321" t="s">
        <v>155</v>
      </c>
      <c r="CD40" s="292" t="s">
        <v>116</v>
      </c>
      <c r="CE40" s="298" t="s">
        <v>25</v>
      </c>
      <c r="CF40" s="292" t="s">
        <v>26</v>
      </c>
      <c r="CG40" s="321" t="s">
        <v>16</v>
      </c>
      <c r="CH40" s="292" t="s">
        <v>27</v>
      </c>
      <c r="CI40" s="298" t="s">
        <v>28</v>
      </c>
      <c r="CJ40" s="292" t="s">
        <v>29</v>
      </c>
      <c r="CK40" s="301" t="s">
        <v>20</v>
      </c>
      <c r="CL40" s="292" t="s">
        <v>30</v>
      </c>
      <c r="CM40" s="298" t="s">
        <v>31</v>
      </c>
      <c r="CN40" s="292" t="s">
        <v>32</v>
      </c>
      <c r="CO40" s="298" t="s">
        <v>24</v>
      </c>
    </row>
    <row r="41" spans="1:93" ht="27.9" customHeight="1">
      <c r="A41" s="498" t="s">
        <v>2</v>
      </c>
      <c r="B41" s="312">
        <f>B23-D23</f>
        <v>204424785.92999998</v>
      </c>
      <c r="C41" s="315">
        <f t="shared" ref="C41:C48" si="106">(B41/J41)-1</f>
        <v>0.96404339184128229</v>
      </c>
      <c r="D41" s="465">
        <f t="shared" ref="D41:D48" si="107">D23</f>
        <v>107620258.90000001</v>
      </c>
      <c r="E41" s="522">
        <f t="shared" ref="E41:E48" si="108">(D41/L41)-1</f>
        <v>6.6540992313944392E-2</v>
      </c>
      <c r="F41" s="312">
        <f t="shared" ref="F41:F48" si="109">F23-H23</f>
        <v>151763803.13</v>
      </c>
      <c r="G41" s="315">
        <f t="shared" ref="G41:G48" si="110">(F41/N41)-1</f>
        <v>-0.1391302837731212</v>
      </c>
      <c r="H41" s="465">
        <f t="shared" ref="H41:H48" si="111">H23-J23</f>
        <v>153473393.28999999</v>
      </c>
      <c r="I41" s="481">
        <f t="shared" ref="I41:I48" si="112">(H41/P41)-1</f>
        <v>1.4754855728971146</v>
      </c>
      <c r="J41" s="312">
        <f t="shared" ref="J41:J48" si="113">J23-L23</f>
        <v>104083640.3</v>
      </c>
      <c r="K41" s="315">
        <f t="shared" ref="K41:K48" si="114">(J41/R41)-1</f>
        <v>0.554035662528513</v>
      </c>
      <c r="L41" s="465">
        <f t="shared" ref="L41:L48" si="115">L23</f>
        <v>100905881.42</v>
      </c>
      <c r="M41" s="522">
        <f t="shared" ref="M41:M48" si="116">(L41/T41)-1</f>
        <v>0.39472506190122925</v>
      </c>
      <c r="N41" s="312">
        <f t="shared" ref="N41:N48" si="117">N23-P23</f>
        <v>176291255.54000002</v>
      </c>
      <c r="O41" s="315">
        <f t="shared" ref="O41:O48" si="118">(N41/V41)-1</f>
        <v>1.3216214677782299</v>
      </c>
      <c r="P41" s="465">
        <f t="shared" ref="P41:P48" si="119">P23-R23</f>
        <v>61997288.520000041</v>
      </c>
      <c r="Q41" s="481">
        <f t="shared" ref="Q41:Q48" si="120">(P41/X41)-1</f>
        <v>4.4865172709182E-2</v>
      </c>
      <c r="R41" s="312">
        <f t="shared" ref="R41:R48" si="121">R23-T23</f>
        <v>66976352.479999989</v>
      </c>
      <c r="S41" s="315">
        <f t="shared" ref="S41:S48" si="122">(R41/Z41)-1</f>
        <v>-0.29043248370399588</v>
      </c>
      <c r="T41" s="465">
        <f t="shared" ref="T41:T48" si="123">T23</f>
        <v>72348224.159999996</v>
      </c>
      <c r="U41" s="522">
        <f t="shared" ref="U41:U48" si="124">(T41/AB41)-1</f>
        <v>-0.29309492501814616</v>
      </c>
      <c r="V41" s="312">
        <f t="shared" ref="V41:V48" si="125">V23-X23</f>
        <v>75934538.849999994</v>
      </c>
      <c r="W41" s="315">
        <f t="shared" ref="W41:W48" si="126">(V41/AD41)-1</f>
        <v>2.6976230689937708E-2</v>
      </c>
      <c r="X41" s="465">
        <f t="shared" ref="X41:X48" si="127">X23-Z23</f>
        <v>59335204.329999983</v>
      </c>
      <c r="Y41" s="481">
        <f>(X41/AF41)-1</f>
        <v>5.9204178347035175E-2</v>
      </c>
      <c r="Z41" s="312">
        <f t="shared" ref="Z41:Z48" si="128">Z23-AB23</f>
        <v>94390387.020000011</v>
      </c>
      <c r="AA41" s="315">
        <f t="shared" ref="AA41:AA48" si="129">(Z41/AH41)-1</f>
        <v>0.41491787491763321</v>
      </c>
      <c r="AB41" s="465">
        <f t="shared" ref="AB41:AB48" si="130">AB23</f>
        <v>102345034.31999999</v>
      </c>
      <c r="AC41" s="511">
        <f t="shared" ref="AC41:AC48" si="131">(AB41/AJ41)-1</f>
        <v>0.48835245188493936</v>
      </c>
      <c r="AD41" s="312">
        <f t="shared" ref="AD41:AD48" si="132">AD23-AF23</f>
        <v>73939918.549999982</v>
      </c>
      <c r="AE41" s="315">
        <f t="shared" ref="AE41:AE48" si="133">(AD41/AL41)-1</f>
        <v>0.45252789741334376</v>
      </c>
      <c r="AF41" s="465">
        <f t="shared" ref="AF41:AF48" si="134">AF23-AH23</f>
        <v>56018665.280000001</v>
      </c>
      <c r="AG41" s="481">
        <f t="shared" ref="AG41:AG48" si="135">(AF41/AN41)-1</f>
        <v>0.32458485558575378</v>
      </c>
      <c r="AH41" s="312">
        <f t="shared" ref="AH41:AH48" si="136">AH23-AJ23</f>
        <v>66710859.120000005</v>
      </c>
      <c r="AI41" s="315">
        <f>(AH41/AP41)-1</f>
        <v>1.7301571866734866E-2</v>
      </c>
      <c r="AJ41" s="465">
        <f t="shared" ref="AJ41:AJ48" si="137">AJ23</f>
        <v>68763977.370000005</v>
      </c>
      <c r="AK41" s="303">
        <f t="shared" ref="AK41:AK48" si="138">(AJ41/AR41)-1</f>
        <v>-0.12855402021256779</v>
      </c>
      <c r="AL41" s="312">
        <f t="shared" ref="AL41:AL48" si="139">AL23-AN23</f>
        <v>50904301.860000014</v>
      </c>
      <c r="AM41" s="315">
        <f t="shared" ref="AM41:AM48" si="140">(AL41/AT41)-1</f>
        <v>-0.33191984813287412</v>
      </c>
      <c r="AN41" s="465">
        <f t="shared" ref="AN41:AN48" si="141">AN23-AP23</f>
        <v>42291488.569999993</v>
      </c>
      <c r="AO41" s="481">
        <f t="shared" ref="AO41:AO48" si="142">(AN41/AV41)-1</f>
        <v>5.4254900677303874E-2</v>
      </c>
      <c r="AP41" s="312">
        <f t="shared" ref="AP41:AP48" si="143">AP23-AR23</f>
        <v>65576286.289999992</v>
      </c>
      <c r="AQ41" s="315">
        <f>(AP41/AX41)-1</f>
        <v>-8.7011079151961934E-2</v>
      </c>
      <c r="AR41" s="465">
        <f t="shared" ref="AR41:AR48" si="144">AR23</f>
        <v>78907905.900000006</v>
      </c>
      <c r="AS41" s="303">
        <f t="shared" ref="AS41:AS48" si="145">(AR41/AZ41)-1</f>
        <v>0.12746754245217207</v>
      </c>
      <c r="AT41" s="312">
        <f t="shared" ref="AT41:AT48" si="146">AT23-AV23</f>
        <v>76194902.24000001</v>
      </c>
      <c r="AU41" s="315">
        <f t="shared" ref="AU41:AU48" si="147">(AT41/BB41)-1</f>
        <v>0.13438174253358648</v>
      </c>
      <c r="AV41" s="465">
        <f t="shared" ref="AV41:AV48" si="148">AV23-AX23</f>
        <v>40115050.49000001</v>
      </c>
      <c r="AW41" s="481">
        <f t="shared" ref="AW41:AW48" si="149">(AV41/BD41)-1</f>
        <v>-3.7086327036834787E-2</v>
      </c>
      <c r="AX41" s="312">
        <f t="shared" ref="AX41:AX48" si="150">AX23-AZ23</f>
        <v>71825938.729999989</v>
      </c>
      <c r="AY41" s="315">
        <f>(AX41/BF41)-1</f>
        <v>0.18466986312912592</v>
      </c>
      <c r="AZ41" s="465">
        <f t="shared" ref="AZ41:AZ48" si="151">AZ23</f>
        <v>69986853.659999996</v>
      </c>
      <c r="BA41" s="303">
        <f t="shared" ref="BA41:BA48" si="152">(AZ41/BH41)-1</f>
        <v>-1.5059636211443017E-3</v>
      </c>
      <c r="BB41" s="312">
        <f t="shared" ref="BB41:BB48" si="153">BB23-BD23</f>
        <v>67168660.586710781</v>
      </c>
      <c r="BC41" s="315">
        <f>(BB41/BJ41)-1</f>
        <v>0.12476473995800297</v>
      </c>
      <c r="BD41" s="302">
        <f t="shared" ref="BD41:BD48" si="154">BD23-BF23</f>
        <v>41660069.449999958</v>
      </c>
      <c r="BE41" s="481">
        <f>(BD41/BL41)-1</f>
        <v>-0.15054054260276772</v>
      </c>
      <c r="BF41" s="312">
        <f t="shared" ref="BF41:BF48" si="155">BF23-BH23</f>
        <v>60629497.690000027</v>
      </c>
      <c r="BG41" s="315">
        <f>(BF41/BN41)-1</f>
        <v>-3.8999667753770284E-2</v>
      </c>
      <c r="BH41" s="302">
        <f>BH23</f>
        <v>70092410.280000001</v>
      </c>
      <c r="BI41" s="303">
        <f>(BH41/BP41)-1</f>
        <v>0.18900502668406749</v>
      </c>
      <c r="BJ41" s="312">
        <f t="shared" ref="BJ41:BJ48" si="156">BJ23-BL23</f>
        <v>59717964.299999982</v>
      </c>
      <c r="BK41" s="315">
        <f t="shared" ref="BK41:BK48" si="157">BJ41/BR41-1</f>
        <v>-0.30459926218231115</v>
      </c>
      <c r="BL41" s="278">
        <f>BL23-BN23</f>
        <v>49043034.469999999</v>
      </c>
      <c r="BM41" s="304">
        <f>(BL41/BT41)-1</f>
        <v>0.14857813818667731</v>
      </c>
      <c r="BN41" s="312">
        <f t="shared" ref="BN41:BN48" si="158">BN23-BP23</f>
        <v>63089986.189999983</v>
      </c>
      <c r="BO41" s="315">
        <f t="shared" ref="BO41:BO48" si="159">BN41/BV41-1</f>
        <v>-0.16949996412262769</v>
      </c>
      <c r="BP41" s="302">
        <f>BP23</f>
        <v>58950474.310000017</v>
      </c>
      <c r="BQ41" s="303">
        <f>(BP41/BX41)-1</f>
        <v>-0.1510088057849186</v>
      </c>
      <c r="BR41" s="312">
        <f t="shared" ref="BR41:BR48" si="160">BR23-BT23</f>
        <v>85875612.51000005</v>
      </c>
      <c r="BS41" s="315">
        <f t="shared" ref="BS41:BS48" si="161">BR41/BZ41-1</f>
        <v>0.47171135555174448</v>
      </c>
      <c r="BT41" s="278">
        <f>BT23-BV23</f>
        <v>42698909.929999977</v>
      </c>
      <c r="BU41" s="304">
        <f t="shared" ref="BU41:BU48" si="162">(BT41/CA41)-1</f>
        <v>1.0178649350198743E-3</v>
      </c>
      <c r="BV41" s="312">
        <f t="shared" ref="BV41:BV48" si="163">BV23-BX23</f>
        <v>75966265.459999993</v>
      </c>
      <c r="BW41" s="315">
        <f t="shared" ref="BW41:BW48" si="164">BV41/CB41-1</f>
        <v>6.9757217297598872E-2</v>
      </c>
      <c r="BX41" s="302">
        <f>BX23</f>
        <v>69435907.829999998</v>
      </c>
      <c r="BY41" s="303">
        <f t="shared" ref="BY41:BY48" si="165">(BX41/CC41)-1</f>
        <v>1.8470569281900273E-2</v>
      </c>
      <c r="BZ41" s="293">
        <f t="shared" ref="BZ41:CB45" si="166">BZ23-CA23</f>
        <v>58350852.689999998</v>
      </c>
      <c r="CA41" s="278">
        <f t="shared" si="166"/>
        <v>42655492.400000006</v>
      </c>
      <c r="CB41" s="312">
        <f t="shared" si="166"/>
        <v>71012622.519999996</v>
      </c>
      <c r="CC41" s="322">
        <v>68176646.359999999</v>
      </c>
      <c r="CD41" s="319">
        <v>46386151.289999992</v>
      </c>
      <c r="CE41" s="278">
        <v>48630826.969999999</v>
      </c>
      <c r="CF41" s="279">
        <v>70860689.250000015</v>
      </c>
      <c r="CG41" s="322">
        <v>70254992.079999998</v>
      </c>
      <c r="CH41" s="279">
        <v>44358328.620000005</v>
      </c>
      <c r="CI41" s="278">
        <v>37886207.409999996</v>
      </c>
      <c r="CJ41" s="279">
        <v>69333154.599999994</v>
      </c>
      <c r="CK41" s="305">
        <v>59222835.649999999</v>
      </c>
      <c r="CL41" s="279">
        <v>39287357.079999983</v>
      </c>
      <c r="CM41" s="278">
        <v>34966638.910000011</v>
      </c>
      <c r="CN41" s="279">
        <v>61020454.119999997</v>
      </c>
      <c r="CO41" s="278">
        <v>54813978.990000002</v>
      </c>
    </row>
    <row r="42" spans="1:93" ht="27.9" customHeight="1">
      <c r="A42" s="499" t="s">
        <v>3</v>
      </c>
      <c r="B42" s="314">
        <f>B24-D24</f>
        <v>79490823.383549154</v>
      </c>
      <c r="C42" s="315">
        <f t="shared" si="106"/>
        <v>1.2600297146774504</v>
      </c>
      <c r="D42" s="467">
        <f t="shared" si="107"/>
        <v>30428332.636450827</v>
      </c>
      <c r="E42" s="523">
        <f t="shared" si="108"/>
        <v>-4.7843887913697536E-2</v>
      </c>
      <c r="F42" s="314">
        <f t="shared" si="109"/>
        <v>60792410.957383841</v>
      </c>
      <c r="G42" s="315">
        <f t="shared" si="110"/>
        <v>-0.1198932492670296</v>
      </c>
      <c r="H42" s="467">
        <f t="shared" si="111"/>
        <v>76991775.609999985</v>
      </c>
      <c r="I42" s="482">
        <f t="shared" si="112"/>
        <v>2.6793275839542403</v>
      </c>
      <c r="J42" s="314">
        <f t="shared" si="113"/>
        <v>35172468.249999985</v>
      </c>
      <c r="K42" s="315">
        <f t="shared" si="114"/>
        <v>1.1764932456693717</v>
      </c>
      <c r="L42" s="467">
        <f t="shared" si="115"/>
        <v>31957293.820000008</v>
      </c>
      <c r="M42" s="523">
        <f t="shared" si="116"/>
        <v>1.8732037919007705</v>
      </c>
      <c r="N42" s="314">
        <f t="shared" si="117"/>
        <v>69073905.985557675</v>
      </c>
      <c r="O42" s="315">
        <f t="shared" si="118"/>
        <v>2.3552668012469353</v>
      </c>
      <c r="P42" s="467">
        <f t="shared" si="119"/>
        <v>20925501.69921416</v>
      </c>
      <c r="Q42" s="482">
        <f t="shared" si="120"/>
        <v>0.41163869087563909</v>
      </c>
      <c r="R42" s="314">
        <f t="shared" si="121"/>
        <v>16160155.019999996</v>
      </c>
      <c r="S42" s="315">
        <f t="shared" si="122"/>
        <v>-0.4702047999856076</v>
      </c>
      <c r="T42" s="467">
        <f t="shared" si="123"/>
        <v>11122529.459999993</v>
      </c>
      <c r="U42" s="523">
        <f t="shared" si="124"/>
        <v>-0.59205336211774218</v>
      </c>
      <c r="V42" s="314">
        <f t="shared" si="125"/>
        <v>20586710.409999996</v>
      </c>
      <c r="W42" s="315">
        <f t="shared" si="126"/>
        <v>0.10508433695601171</v>
      </c>
      <c r="X42" s="467">
        <f t="shared" si="127"/>
        <v>14823553.530000001</v>
      </c>
      <c r="Y42" s="482">
        <f t="shared" ref="Y42:Y48" si="167">(X42/AF42)-1</f>
        <v>-0.11778890112337692</v>
      </c>
      <c r="Z42" s="314">
        <f t="shared" si="128"/>
        <v>30502645.209999993</v>
      </c>
      <c r="AA42" s="315">
        <f t="shared" si="129"/>
        <v>0.33799137179541017</v>
      </c>
      <c r="AB42" s="467">
        <f t="shared" si="130"/>
        <v>27264667.549999997</v>
      </c>
      <c r="AC42" s="512">
        <f t="shared" si="131"/>
        <v>0.33516253516627259</v>
      </c>
      <c r="AD42" s="314">
        <f t="shared" si="132"/>
        <v>18629085.329999983</v>
      </c>
      <c r="AE42" s="315">
        <f t="shared" si="133"/>
        <v>0.35263135264554246</v>
      </c>
      <c r="AF42" s="467">
        <f t="shared" si="134"/>
        <v>16802728.450000003</v>
      </c>
      <c r="AG42" s="482">
        <f t="shared" si="135"/>
        <v>0.25622089756016742</v>
      </c>
      <c r="AH42" s="314">
        <f t="shared" si="136"/>
        <v>22797340.740000002</v>
      </c>
      <c r="AI42" s="315">
        <f t="shared" ref="AI42:AI47" si="168">(AH42/AP42)-1</f>
        <v>-0.15230395251492823</v>
      </c>
      <c r="AJ42" s="467">
        <f t="shared" si="137"/>
        <v>20420485.770000003</v>
      </c>
      <c r="AK42" s="307">
        <f t="shared" si="138"/>
        <v>-0.18975725736235727</v>
      </c>
      <c r="AL42" s="314">
        <f t="shared" si="139"/>
        <v>13772477.840000018</v>
      </c>
      <c r="AM42" s="315">
        <f t="shared" si="140"/>
        <v>-0.38772309036396135</v>
      </c>
      <c r="AN42" s="467">
        <f t="shared" si="141"/>
        <v>13375616.089999989</v>
      </c>
      <c r="AO42" s="482">
        <f t="shared" si="142"/>
        <v>0.4367684905306195</v>
      </c>
      <c r="AP42" s="314">
        <f t="shared" si="143"/>
        <v>26893296.019999988</v>
      </c>
      <c r="AQ42" s="315">
        <f t="shared" ref="AQ42:AQ47" si="169">(AP42/AX42)-1</f>
        <v>0.42187140597182915</v>
      </c>
      <c r="AR42" s="467">
        <f t="shared" si="144"/>
        <v>25202923.390000008</v>
      </c>
      <c r="AS42" s="307">
        <f t="shared" si="145"/>
        <v>0.78458398157406561</v>
      </c>
      <c r="AT42" s="314">
        <f t="shared" si="146"/>
        <v>22493871.030000001</v>
      </c>
      <c r="AU42" s="315">
        <f t="shared" si="147"/>
        <v>0.67829979254962303</v>
      </c>
      <c r="AV42" s="467">
        <f t="shared" si="148"/>
        <v>9309513.8000000119</v>
      </c>
      <c r="AW42" s="482">
        <f t="shared" si="149"/>
        <v>0.57368482877710325</v>
      </c>
      <c r="AX42" s="314">
        <f t="shared" si="150"/>
        <v>18914014.239999995</v>
      </c>
      <c r="AY42" s="315">
        <f t="shared" ref="AY42:AY48" si="170">(AX42/BF42)-1</f>
        <v>0.99051183929728581</v>
      </c>
      <c r="AZ42" s="467">
        <f t="shared" si="151"/>
        <v>14122576.269999996</v>
      </c>
      <c r="BA42" s="307">
        <f t="shared" si="152"/>
        <v>-0.22934432015397133</v>
      </c>
      <c r="BB42" s="314">
        <f t="shared" si="153"/>
        <v>13402772.931186497</v>
      </c>
      <c r="BC42" s="315">
        <f t="shared" ref="BC42:BC43" si="171">(BB42/BJ42)-1</f>
        <v>0.18055415829267085</v>
      </c>
      <c r="BD42" s="306">
        <f t="shared" si="154"/>
        <v>5915742.2310758084</v>
      </c>
      <c r="BE42" s="482">
        <f t="shared" ref="BE42:BE48" si="172">(BD42/BL42)-1</f>
        <v>-0.53416097339250068</v>
      </c>
      <c r="BF42" s="314">
        <f t="shared" si="155"/>
        <v>9502085.7784383968</v>
      </c>
      <c r="BG42" s="315">
        <f t="shared" ref="BG42:BI48" si="173">(BF42/BN42)-1</f>
        <v>-0.26635830412320916</v>
      </c>
      <c r="BH42" s="306">
        <f>BH24</f>
        <v>18325403.470485784</v>
      </c>
      <c r="BI42" s="307">
        <f t="shared" si="173"/>
        <v>0.36552670393643827</v>
      </c>
      <c r="BJ42" s="314">
        <f t="shared" si="156"/>
        <v>11352950.508064553</v>
      </c>
      <c r="BK42" s="315">
        <f t="shared" si="157"/>
        <v>-0.56079294526522316</v>
      </c>
      <c r="BL42" s="285">
        <f>BL24-BN24</f>
        <v>12699112.554303482</v>
      </c>
      <c r="BM42" s="308">
        <f>(BL42/BT42)-1</f>
        <v>1.7953892465401422</v>
      </c>
      <c r="BN42" s="314">
        <f t="shared" si="158"/>
        <v>12951943.4784609</v>
      </c>
      <c r="BO42" s="315">
        <f t="shared" si="159"/>
        <v>-0.27080850136049905</v>
      </c>
      <c r="BP42" s="306">
        <f>BP24</f>
        <v>13420025.707046725</v>
      </c>
      <c r="BQ42" s="307">
        <f t="shared" ref="BQ42:BQ48" si="174">(BP42/BX42)-1</f>
        <v>-3.2100051305326338E-2</v>
      </c>
      <c r="BR42" s="314">
        <f t="shared" si="160"/>
        <v>25848743.515561789</v>
      </c>
      <c r="BS42" s="315">
        <f t="shared" si="161"/>
        <v>2.2745896494036888</v>
      </c>
      <c r="BT42" s="285">
        <f>BT24-BV24</f>
        <v>4542878.0875583589</v>
      </c>
      <c r="BU42" s="308">
        <f t="shared" si="162"/>
        <v>1.8277112681039966</v>
      </c>
      <c r="BV42" s="314">
        <f t="shared" si="163"/>
        <v>17762060.449999988</v>
      </c>
      <c r="BW42" s="315">
        <f t="shared" si="164"/>
        <v>0.2745118397861428</v>
      </c>
      <c r="BX42" s="306">
        <f>BX24</f>
        <v>13865096</v>
      </c>
      <c r="BY42" s="307">
        <f t="shared" si="165"/>
        <v>0.15414810576564308</v>
      </c>
      <c r="BZ42" s="294">
        <f t="shared" si="166"/>
        <v>7893735.1800000072</v>
      </c>
      <c r="CA42" s="285">
        <f t="shared" si="166"/>
        <v>1606556.5599999875</v>
      </c>
      <c r="CB42" s="314">
        <f t="shared" si="166"/>
        <v>13936363.630000001</v>
      </c>
      <c r="CC42" s="323">
        <v>12013272.76</v>
      </c>
      <c r="CD42" s="320">
        <v>5943276.849999994</v>
      </c>
      <c r="CE42" s="285">
        <v>8786602.0399999991</v>
      </c>
      <c r="CF42" s="286">
        <v>20751379.340000004</v>
      </c>
      <c r="CG42" s="323">
        <v>14338808.68</v>
      </c>
      <c r="CH42" s="286">
        <v>4374832.7899999991</v>
      </c>
      <c r="CI42" s="285">
        <v>6152624.9299999997</v>
      </c>
      <c r="CJ42" s="286">
        <v>15276049.02</v>
      </c>
      <c r="CK42" s="309">
        <v>14586163.91</v>
      </c>
      <c r="CL42" s="286">
        <v>8653962.8200000003</v>
      </c>
      <c r="CM42" s="285">
        <v>5391776.1300000027</v>
      </c>
      <c r="CN42" s="286">
        <v>12864149.869999999</v>
      </c>
      <c r="CO42" s="285">
        <v>12625470.779999999</v>
      </c>
    </row>
    <row r="43" spans="1:93" ht="27.9" customHeight="1">
      <c r="A43" s="499" t="s">
        <v>4</v>
      </c>
      <c r="B43" s="314">
        <f>B25-D25</f>
        <v>56957525.163549148</v>
      </c>
      <c r="C43" s="315">
        <f t="shared" si="106"/>
        <v>2.1412241772404266</v>
      </c>
      <c r="D43" s="467">
        <f t="shared" si="107"/>
        <v>12773407.126450827</v>
      </c>
      <c r="E43" s="523">
        <f t="shared" si="108"/>
        <v>-0.25872472692916837</v>
      </c>
      <c r="F43" s="314">
        <f t="shared" si="109"/>
        <v>30170397.867383823</v>
      </c>
      <c r="G43" s="315">
        <f t="shared" si="110"/>
        <v>-0.38699217790193463</v>
      </c>
      <c r="H43" s="467">
        <f t="shared" si="111"/>
        <v>55451889.11999999</v>
      </c>
      <c r="I43" s="482">
        <f t="shared" si="112"/>
        <v>8.2652047259751331</v>
      </c>
      <c r="J43" s="314">
        <f t="shared" si="113"/>
        <v>18132270.079999983</v>
      </c>
      <c r="K43" s="315">
        <f t="shared" si="114"/>
        <v>8.8271744228973379</v>
      </c>
      <c r="L43" s="467">
        <f t="shared" si="115"/>
        <v>17231664.930000007</v>
      </c>
      <c r="M43" s="523">
        <f t="shared" si="116"/>
        <v>-16.361454812615669</v>
      </c>
      <c r="N43" s="314">
        <f t="shared" si="117"/>
        <v>49216986.765557684</v>
      </c>
      <c r="O43" s="315">
        <f t="shared" si="118"/>
        <v>16.572665677290143</v>
      </c>
      <c r="P43" s="467">
        <f t="shared" si="119"/>
        <v>5984961.0192141607</v>
      </c>
      <c r="Q43" s="482">
        <f t="shared" si="120"/>
        <v>6.095513632478168</v>
      </c>
      <c r="R43" s="314">
        <f t="shared" si="121"/>
        <v>1845115.3199999947</v>
      </c>
      <c r="S43" s="315">
        <f t="shared" si="122"/>
        <v>-0.87817084637875609</v>
      </c>
      <c r="T43" s="467">
        <f t="shared" si="123"/>
        <v>-1121746.9400000069</v>
      </c>
      <c r="U43" s="523">
        <f t="shared" si="124"/>
        <v>-1.0787429399119137</v>
      </c>
      <c r="V43" s="314">
        <f t="shared" si="125"/>
        <v>2800769.5399999991</v>
      </c>
      <c r="W43" s="315">
        <f t="shared" si="126"/>
        <v>-0.30124880331817749</v>
      </c>
      <c r="X43" s="467">
        <f t="shared" si="127"/>
        <v>843485.24000000581</v>
      </c>
      <c r="Y43" s="482">
        <f t="shared" si="167"/>
        <v>-0.82645104990279572</v>
      </c>
      <c r="Z43" s="314">
        <f t="shared" si="128"/>
        <v>15145104.969999993</v>
      </c>
      <c r="AA43" s="315">
        <f t="shared" si="129"/>
        <v>0.55449880671052654</v>
      </c>
      <c r="AB43" s="467">
        <f t="shared" si="130"/>
        <v>14245682.739999996</v>
      </c>
      <c r="AC43" s="512">
        <f t="shared" si="131"/>
        <v>0.34148836237260083</v>
      </c>
      <c r="AD43" s="314">
        <f t="shared" si="132"/>
        <v>4008250.0799999833</v>
      </c>
      <c r="AE43" s="315">
        <f t="shared" si="133"/>
        <v>0.69048965271682916</v>
      </c>
      <c r="AF43" s="467">
        <f t="shared" si="134"/>
        <v>4860215.1700000018</v>
      </c>
      <c r="AG43" s="482">
        <f t="shared" si="135"/>
        <v>0.31151303872014102</v>
      </c>
      <c r="AH43" s="314">
        <f t="shared" si="136"/>
        <v>9742757.5400000047</v>
      </c>
      <c r="AI43" s="315">
        <f t="shared" si="168"/>
        <v>-0.45333297656292293</v>
      </c>
      <c r="AJ43" s="467">
        <f t="shared" si="137"/>
        <v>10619311.460000003</v>
      </c>
      <c r="AK43" s="307">
        <f t="shared" si="138"/>
        <v>-0.27956013271256974</v>
      </c>
      <c r="AL43" s="314">
        <f t="shared" si="139"/>
        <v>2371058.630000025</v>
      </c>
      <c r="AM43" s="315">
        <f t="shared" si="140"/>
        <v>-0.72613927167168968</v>
      </c>
      <c r="AN43" s="467">
        <f t="shared" si="141"/>
        <v>3705807.7399999872</v>
      </c>
      <c r="AO43" s="482">
        <f t="shared" si="142"/>
        <v>12.886956260075708</v>
      </c>
      <c r="AP43" s="314">
        <f t="shared" si="143"/>
        <v>17822105.819999993</v>
      </c>
      <c r="AQ43" s="315">
        <f t="shared" si="169"/>
        <v>1.0367513892120241</v>
      </c>
      <c r="AR43" s="467">
        <f t="shared" si="144"/>
        <v>14740038.610000007</v>
      </c>
      <c r="AS43" s="307">
        <f t="shared" si="145"/>
        <v>1.8007505060647482</v>
      </c>
      <c r="AT43" s="314">
        <f t="shared" si="146"/>
        <v>8657899.3799999952</v>
      </c>
      <c r="AU43" s="315">
        <f t="shared" si="147"/>
        <v>0.97489335557596313</v>
      </c>
      <c r="AV43" s="467">
        <f t="shared" si="148"/>
        <v>266855.29000001214</v>
      </c>
      <c r="AW43" s="482">
        <f t="shared" si="149"/>
        <v>-1.0905963486146408</v>
      </c>
      <c r="AX43" s="314">
        <f t="shared" si="150"/>
        <v>8750260.7899999954</v>
      </c>
      <c r="AY43" s="315">
        <f t="shared" si="170"/>
        <v>-47.449790214918345</v>
      </c>
      <c r="AZ43" s="467">
        <f t="shared" si="151"/>
        <v>5262888.849999995</v>
      </c>
      <c r="BA43" s="307">
        <f t="shared" si="152"/>
        <v>-0.40391025668279412</v>
      </c>
      <c r="BB43" s="314">
        <f t="shared" si="153"/>
        <v>4383983.2442369945</v>
      </c>
      <c r="BC43" s="315">
        <f t="shared" si="171"/>
        <v>-10.115891404185868</v>
      </c>
      <c r="BD43" s="306">
        <f t="shared" si="154"/>
        <v>-2945541.3389241938</v>
      </c>
      <c r="BE43" s="482">
        <f t="shared" si="172"/>
        <v>-2.1577243859037081</v>
      </c>
      <c r="BF43" s="314">
        <f t="shared" si="155"/>
        <v>-188381.06156160124</v>
      </c>
      <c r="BG43" s="315">
        <f t="shared" si="173"/>
        <v>-1.0787077900237825</v>
      </c>
      <c r="BH43" s="306">
        <f>BH25</f>
        <v>8829020.980485782</v>
      </c>
      <c r="BI43" s="307">
        <f t="shared" si="173"/>
        <v>1.0755269086229706</v>
      </c>
      <c r="BJ43" s="314">
        <f t="shared" si="156"/>
        <v>-480916.57193545997</v>
      </c>
      <c r="BK43" s="315">
        <f t="shared" si="157"/>
        <v>-1.0381588277920022</v>
      </c>
      <c r="BL43" s="285">
        <f>BL25-BN25</f>
        <v>2544250.9243034851</v>
      </c>
      <c r="BM43" s="308">
        <f t="shared" ref="BM43:BM48" si="175">(BL43/BT43)-1</f>
        <v>-1.5979543636326947</v>
      </c>
      <c r="BN43" s="314">
        <f t="shared" si="158"/>
        <v>2393423.3384609008</v>
      </c>
      <c r="BO43" s="315">
        <f t="shared" si="159"/>
        <v>-0.71582127217078062</v>
      </c>
      <c r="BP43" s="306">
        <f>BP25</f>
        <v>4253869.6770467246</v>
      </c>
      <c r="BQ43" s="307">
        <f t="shared" si="174"/>
        <v>-0.22395244850681917</v>
      </c>
      <c r="BR43" s="314">
        <f t="shared" si="160"/>
        <v>12603022.675561797</v>
      </c>
      <c r="BS43" s="315">
        <f t="shared" si="161"/>
        <v>-8.4892718887240886</v>
      </c>
      <c r="BT43" s="285">
        <f>BT25-BV25</f>
        <v>-4254924.9224416427</v>
      </c>
      <c r="BU43" s="308">
        <f t="shared" si="162"/>
        <v>-0.40389036050439597</v>
      </c>
      <c r="BV43" s="314">
        <f t="shared" si="163"/>
        <v>8422246.6499999873</v>
      </c>
      <c r="BW43" s="315">
        <f t="shared" si="164"/>
        <v>0.89613820797443511</v>
      </c>
      <c r="BX43" s="306">
        <f>BX25</f>
        <v>5481454.9299999997</v>
      </c>
      <c r="BY43" s="307">
        <f t="shared" si="165"/>
        <v>0.70872490401689237</v>
      </c>
      <c r="BZ43" s="294">
        <f t="shared" si="166"/>
        <v>-1682810.1399999931</v>
      </c>
      <c r="CA43" s="285">
        <f t="shared" si="166"/>
        <v>-7137822.7100000121</v>
      </c>
      <c r="CB43" s="314">
        <f t="shared" si="166"/>
        <v>4441789.43</v>
      </c>
      <c r="CC43" s="323">
        <v>3207921.25</v>
      </c>
      <c r="CD43" s="320">
        <v>-3190252</v>
      </c>
      <c r="CE43" s="285">
        <v>-24598.789999999106</v>
      </c>
      <c r="CF43" s="286">
        <v>11794044.639999999</v>
      </c>
      <c r="CG43" s="323">
        <v>6367864.8300000001</v>
      </c>
      <c r="CH43" s="286">
        <v>-3723216.1500000004</v>
      </c>
      <c r="CI43" s="285">
        <v>-1298238.4900000002</v>
      </c>
      <c r="CJ43" s="286">
        <v>6931189.1400000006</v>
      </c>
      <c r="CK43" s="309">
        <v>6946021.0899999999</v>
      </c>
      <c r="CL43" s="286">
        <v>903603.58999999985</v>
      </c>
      <c r="CM43" s="285">
        <v>-1477366.540000001</v>
      </c>
      <c r="CN43" s="286">
        <v>4155786.9700000007</v>
      </c>
      <c r="CO43" s="285">
        <v>4263335.24</v>
      </c>
    </row>
    <row r="44" spans="1:93" ht="27.9" customHeight="1">
      <c r="A44" s="499" t="s">
        <v>136</v>
      </c>
      <c r="B44" s="314">
        <f t="shared" ref="B41:B48" si="176">B26-D26</f>
        <v>56627018.608122155</v>
      </c>
      <c r="C44" s="315">
        <f t="shared" si="106"/>
        <v>2.2650347812965435</v>
      </c>
      <c r="D44" s="467">
        <f t="shared" si="107"/>
        <v>12180705.001877828</v>
      </c>
      <c r="E44" s="523">
        <f t="shared" si="108"/>
        <v>-0.27989358027942446</v>
      </c>
      <c r="F44" s="314">
        <f t="shared" si="109"/>
        <v>26713485.549911201</v>
      </c>
      <c r="G44" s="315">
        <f t="shared" si="110"/>
        <v>-0.41307709237871559</v>
      </c>
      <c r="H44" s="467">
        <f t="shared" si="111"/>
        <v>55061054.039999984</v>
      </c>
      <c r="I44" s="482">
        <f t="shared" si="112"/>
        <v>12.003874102599344</v>
      </c>
      <c r="J44" s="314">
        <f t="shared" si="113"/>
        <v>17343465.659999982</v>
      </c>
      <c r="K44" s="315">
        <f t="shared" si="114"/>
        <v>-403.78496997245571</v>
      </c>
      <c r="L44" s="467">
        <f t="shared" si="115"/>
        <v>16915145.690000005</v>
      </c>
      <c r="M44" s="523">
        <f t="shared" si="116"/>
        <v>3.9161518619857194</v>
      </c>
      <c r="N44" s="314">
        <f t="shared" si="117"/>
        <v>45514470.815557674</v>
      </c>
      <c r="O44" s="315">
        <f t="shared" si="118"/>
        <v>-10.823960060396548</v>
      </c>
      <c r="P44" s="467">
        <f t="shared" si="119"/>
        <v>4234203.8692141622</v>
      </c>
      <c r="Q44" s="482">
        <f t="shared" si="120"/>
        <v>0.17246057418404637</v>
      </c>
      <c r="R44" s="314">
        <f t="shared" si="121"/>
        <v>-43058.870000005234</v>
      </c>
      <c r="S44" s="315">
        <f t="shared" si="122"/>
        <v>-1.0027844606155196</v>
      </c>
      <c r="T44" s="467">
        <f t="shared" si="123"/>
        <v>3440728.8799999929</v>
      </c>
      <c r="U44" s="523">
        <f t="shared" si="124"/>
        <v>-0.76238447133904375</v>
      </c>
      <c r="V44" s="314">
        <f t="shared" si="125"/>
        <v>-4633006.5000000075</v>
      </c>
      <c r="W44" s="315">
        <f t="shared" si="126"/>
        <v>-2.3641456028144407</v>
      </c>
      <c r="X44" s="467">
        <f t="shared" si="127"/>
        <v>3611382.7300000116</v>
      </c>
      <c r="Y44" s="482">
        <f t="shared" si="167"/>
        <v>-0.42470679667486311</v>
      </c>
      <c r="Z44" s="314">
        <f t="shared" si="128"/>
        <v>15463989.59999999</v>
      </c>
      <c r="AA44" s="315">
        <f t="shared" si="129"/>
        <v>0.69398524053459965</v>
      </c>
      <c r="AB44" s="467">
        <f t="shared" si="130"/>
        <v>14480235.779999997</v>
      </c>
      <c r="AC44" s="512">
        <f t="shared" si="131"/>
        <v>0.24800807128148139</v>
      </c>
      <c r="AD44" s="314">
        <f t="shared" si="132"/>
        <v>3396269.7899999879</v>
      </c>
      <c r="AE44" s="315">
        <f t="shared" si="133"/>
        <v>8.0480346837930927E-2</v>
      </c>
      <c r="AF44" s="467">
        <f t="shared" si="134"/>
        <v>6277464.6199999973</v>
      </c>
      <c r="AG44" s="482">
        <f t="shared" si="135"/>
        <v>0.33938586101367973</v>
      </c>
      <c r="AH44" s="314">
        <f t="shared" si="136"/>
        <v>9128762.890000008</v>
      </c>
      <c r="AI44" s="315">
        <f t="shared" si="168"/>
        <v>-0.48330376505864736</v>
      </c>
      <c r="AJ44" s="467">
        <f t="shared" si="137"/>
        <v>11602677.990000002</v>
      </c>
      <c r="AK44" s="307">
        <f t="shared" si="138"/>
        <v>-0.28781553870510534</v>
      </c>
      <c r="AL44" s="314">
        <f t="shared" si="139"/>
        <v>3143296.2200000286</v>
      </c>
      <c r="AM44" s="315">
        <f t="shared" si="140"/>
        <v>-0.54193016091216828</v>
      </c>
      <c r="AN44" s="467">
        <f t="shared" si="141"/>
        <v>4686823.1199999824</v>
      </c>
      <c r="AO44" s="482">
        <f t="shared" si="142"/>
        <v>4.4362394418056716</v>
      </c>
      <c r="AP44" s="314">
        <f t="shared" si="143"/>
        <v>17667562.239999995</v>
      </c>
      <c r="AQ44" s="315">
        <f t="shared" si="169"/>
        <v>0.90015896479768864</v>
      </c>
      <c r="AR44" s="467">
        <f t="shared" si="144"/>
        <v>16291675.290000008</v>
      </c>
      <c r="AS44" s="307">
        <f t="shared" si="145"/>
        <v>1.7964227098252081</v>
      </c>
      <c r="AT44" s="314">
        <f t="shared" si="146"/>
        <v>6862045.8099999968</v>
      </c>
      <c r="AU44" s="315">
        <f t="shared" si="147"/>
        <v>4.6335044860510433E-3</v>
      </c>
      <c r="AV44" s="467">
        <f t="shared" si="148"/>
        <v>862144.35000001267</v>
      </c>
      <c r="AW44" s="482">
        <f t="shared" si="149"/>
        <v>-1.2574375076998368</v>
      </c>
      <c r="AX44" s="314">
        <f t="shared" si="150"/>
        <v>9297939.0499999952</v>
      </c>
      <c r="AY44" s="315">
        <f t="shared" si="170"/>
        <v>16.870222049065877</v>
      </c>
      <c r="AZ44" s="467">
        <f t="shared" si="151"/>
        <v>5825898.6499999948</v>
      </c>
      <c r="BA44" s="307">
        <f t="shared" si="152"/>
        <v>-0.362308985129427</v>
      </c>
      <c r="BB44" s="314">
        <f t="shared" si="153"/>
        <v>6830397.1342369989</v>
      </c>
      <c r="BC44" s="315">
        <f>(BB44/BJ44)-1</f>
        <v>-5.2489212541597103</v>
      </c>
      <c r="BD44" s="306">
        <f t="shared" si="154"/>
        <v>-3348946.1489242017</v>
      </c>
      <c r="BE44" s="482">
        <f>(BD44/BL44)-1</f>
        <v>-2.3029648733684183</v>
      </c>
      <c r="BF44" s="314">
        <f t="shared" si="155"/>
        <v>520303.49843839929</v>
      </c>
      <c r="BG44" s="315">
        <f t="shared" si="173"/>
        <v>-0.34681394235945517</v>
      </c>
      <c r="BH44" s="306">
        <f>BH26</f>
        <v>9135927.1404857896</v>
      </c>
      <c r="BI44" s="307">
        <f t="shared" si="173"/>
        <v>1.392894581163632</v>
      </c>
      <c r="BJ44" s="314">
        <f t="shared" si="156"/>
        <v>-1607560.3019354651</v>
      </c>
      <c r="BK44" s="315">
        <f t="shared" si="157"/>
        <v>-1.2059102146952809</v>
      </c>
      <c r="BL44" s="285">
        <f>BL26-BN26</f>
        <v>2570250.5243034856</v>
      </c>
      <c r="BM44" s="308">
        <f t="shared" si="175"/>
        <v>-1.7344458096531765</v>
      </c>
      <c r="BN44" s="314">
        <f t="shared" si="158"/>
        <v>796562.4684609049</v>
      </c>
      <c r="BO44" s="315">
        <f t="shared" si="159"/>
        <v>-0.91264968007787806</v>
      </c>
      <c r="BP44" s="306">
        <f>BP26</f>
        <v>3817939.6670467253</v>
      </c>
      <c r="BQ44" s="307">
        <f t="shared" si="174"/>
        <v>-0.32348748960260199</v>
      </c>
      <c r="BR44" s="314">
        <f t="shared" si="160"/>
        <v>7807093.5155617949</v>
      </c>
      <c r="BS44" s="315">
        <f t="shared" si="161"/>
        <v>-10.598651129113863</v>
      </c>
      <c r="BT44" s="285">
        <f>BT26-BV26</f>
        <v>-3499578.1724416427</v>
      </c>
      <c r="BU44" s="308">
        <f t="shared" si="162"/>
        <v>-0.53021509130129363</v>
      </c>
      <c r="BV44" s="314">
        <f t="shared" si="163"/>
        <v>9119170.5899999887</v>
      </c>
      <c r="BW44" s="315">
        <f t="shared" si="164"/>
        <v>-0.19914948702176705</v>
      </c>
      <c r="BX44" s="306">
        <f>BX26</f>
        <v>5643561.0699999994</v>
      </c>
      <c r="BY44" s="307">
        <f t="shared" si="165"/>
        <v>0.87323390283729974</v>
      </c>
      <c r="BZ44" s="294">
        <f t="shared" si="166"/>
        <v>-813353.18999999296</v>
      </c>
      <c r="CA44" s="285">
        <f t="shared" si="166"/>
        <v>-7449320.1200000132</v>
      </c>
      <c r="CB44" s="314">
        <f t="shared" si="166"/>
        <v>11386857.4</v>
      </c>
      <c r="CC44" s="323">
        <v>3012736.99</v>
      </c>
      <c r="CD44" s="320">
        <v>-1521657.9900000021</v>
      </c>
      <c r="CE44" s="285">
        <v>-1085825.6799999997</v>
      </c>
      <c r="CF44" s="286">
        <v>12378672.520000001</v>
      </c>
      <c r="CG44" s="323">
        <v>7073010.3499999996</v>
      </c>
      <c r="CH44" s="286">
        <v>-4543838.99</v>
      </c>
      <c r="CI44" s="285">
        <v>-641473.1799999997</v>
      </c>
      <c r="CJ44" s="286">
        <v>7980249.3399999999</v>
      </c>
      <c r="CK44" s="309">
        <v>5842310.7300000004</v>
      </c>
      <c r="CL44" s="286">
        <v>1687847.1099999994</v>
      </c>
      <c r="CM44" s="285">
        <v>-771863.98000000045</v>
      </c>
      <c r="CN44" s="286">
        <v>4711533.7200000007</v>
      </c>
      <c r="CO44" s="285">
        <v>5160072.24</v>
      </c>
    </row>
    <row r="45" spans="1:93" ht="27.9" customHeight="1">
      <c r="A45" s="499" t="s">
        <v>5</v>
      </c>
      <c r="B45" s="314">
        <f>B27-D27</f>
        <v>3862540.81</v>
      </c>
      <c r="C45" s="315">
        <f t="shared" si="106"/>
        <v>0.12147706582436402</v>
      </c>
      <c r="D45" s="467">
        <f t="shared" si="107"/>
        <v>4000572.6</v>
      </c>
      <c r="E45" s="523">
        <f t="shared" si="108"/>
        <v>0.12516093158551955</v>
      </c>
      <c r="F45" s="314">
        <f t="shared" si="109"/>
        <v>3886931.9200000018</v>
      </c>
      <c r="G45" s="315">
        <f t="shared" si="110"/>
        <v>0.13294525844034366</v>
      </c>
      <c r="H45" s="467">
        <f t="shared" si="111"/>
        <v>3474961.6599999992</v>
      </c>
      <c r="I45" s="482">
        <f t="shared" si="112"/>
        <v>4.2739466620304922E-2</v>
      </c>
      <c r="J45" s="314">
        <f t="shared" si="113"/>
        <v>3444154.9699999997</v>
      </c>
      <c r="K45" s="315">
        <f t="shared" si="114"/>
        <v>6.1084633129966814E-2</v>
      </c>
      <c r="L45" s="467">
        <f t="shared" si="115"/>
        <v>3555555.91</v>
      </c>
      <c r="M45" s="523">
        <f t="shared" si="116"/>
        <v>3.3354781513871057E-2</v>
      </c>
      <c r="N45" s="314">
        <f t="shared" si="117"/>
        <v>3430820.59</v>
      </c>
      <c r="O45" s="315">
        <f t="shared" si="118"/>
        <v>2.8664252374454247E-2</v>
      </c>
      <c r="P45" s="467">
        <f t="shared" si="119"/>
        <v>3332531.0599999996</v>
      </c>
      <c r="Q45" s="482">
        <f t="shared" si="120"/>
        <v>1.6174105724122256E-2</v>
      </c>
      <c r="R45" s="314">
        <f t="shared" si="121"/>
        <v>3245881.4899999998</v>
      </c>
      <c r="S45" s="315">
        <f t="shared" si="122"/>
        <v>-5.7424123806419924E-2</v>
      </c>
      <c r="T45" s="467">
        <f t="shared" si="123"/>
        <v>3440789.14</v>
      </c>
      <c r="U45" s="523">
        <f t="shared" si="124"/>
        <v>-2.7366141231376484E-2</v>
      </c>
      <c r="V45" s="314">
        <f t="shared" si="125"/>
        <v>3335219.0299999975</v>
      </c>
      <c r="W45" s="315">
        <f t="shared" si="126"/>
        <v>-4.3985817659829562E-2</v>
      </c>
      <c r="X45" s="467">
        <f t="shared" si="127"/>
        <v>3279488.2700000005</v>
      </c>
      <c r="Y45" s="482">
        <f t="shared" si="167"/>
        <v>-7.2467072106608965E-3</v>
      </c>
      <c r="Z45" s="314">
        <f t="shared" si="128"/>
        <v>3443628.8600000003</v>
      </c>
      <c r="AA45" s="315">
        <f t="shared" si="129"/>
        <v>6.3886878816421744E-2</v>
      </c>
      <c r="AB45" s="467">
        <f t="shared" si="130"/>
        <v>3537599.59</v>
      </c>
      <c r="AC45" s="512">
        <f t="shared" si="131"/>
        <v>0.13961355550379673</v>
      </c>
      <c r="AD45" s="314">
        <f t="shared" si="132"/>
        <v>3488671.0799999982</v>
      </c>
      <c r="AE45" s="315">
        <f t="shared" si="133"/>
        <v>0.13257496746193898</v>
      </c>
      <c r="AF45" s="467">
        <f t="shared" si="134"/>
        <v>3303427.2400000021</v>
      </c>
      <c r="AG45" s="482">
        <f t="shared" si="135"/>
        <v>5.6914964629491305E-2</v>
      </c>
      <c r="AH45" s="314">
        <f t="shared" si="136"/>
        <v>3236837.4200000009</v>
      </c>
      <c r="AI45" s="315">
        <f t="shared" si="168"/>
        <v>6.3975378721533582E-2</v>
      </c>
      <c r="AJ45" s="467">
        <f t="shared" si="137"/>
        <v>3104209.8199999994</v>
      </c>
      <c r="AK45" s="307">
        <f t="shared" si="138"/>
        <v>8.106911500924463E-3</v>
      </c>
      <c r="AL45" s="314">
        <f t="shared" si="139"/>
        <v>3080300.3599999994</v>
      </c>
      <c r="AM45" s="315">
        <f t="shared" si="140"/>
        <v>-1.1057103115130751E-3</v>
      </c>
      <c r="AN45" s="467">
        <f t="shared" si="141"/>
        <v>3125537.3899999997</v>
      </c>
      <c r="AO45" s="482">
        <f t="shared" si="142"/>
        <v>3.4610811543381859E-2</v>
      </c>
      <c r="AP45" s="314">
        <f t="shared" si="143"/>
        <v>3042210.8299999996</v>
      </c>
      <c r="AQ45" s="315">
        <f t="shared" si="169"/>
        <v>-6.308755499090124E-2</v>
      </c>
      <c r="AR45" s="467">
        <f t="shared" si="144"/>
        <v>3079246.64</v>
      </c>
      <c r="AS45" s="307">
        <f t="shared" si="145"/>
        <v>-2.66906511677234E-2</v>
      </c>
      <c r="AT45" s="314">
        <f t="shared" si="146"/>
        <v>3083710.0500000007</v>
      </c>
      <c r="AU45" s="315">
        <f t="shared" si="147"/>
        <v>-3.2080319977628391E-2</v>
      </c>
      <c r="AV45" s="467">
        <f t="shared" si="148"/>
        <v>3020978.8599999994</v>
      </c>
      <c r="AW45" s="482">
        <f t="shared" si="149"/>
        <v>-6.4674044131439512E-2</v>
      </c>
      <c r="AX45" s="314">
        <f t="shared" si="150"/>
        <v>3247059.9</v>
      </c>
      <c r="AY45" s="315">
        <f t="shared" si="170"/>
        <v>-6.8709499005336072E-3</v>
      </c>
      <c r="AZ45" s="467">
        <f t="shared" si="151"/>
        <v>3163687.52</v>
      </c>
      <c r="BA45" s="307">
        <f t="shared" si="152"/>
        <v>7.1515908209478507E-3</v>
      </c>
      <c r="BB45" s="314">
        <f t="shared" si="153"/>
        <v>3185915.2300000004</v>
      </c>
      <c r="BC45" s="315">
        <f t="shared" ref="BC45:BC48" si="177">(BB45/BJ45)-1</f>
        <v>2.5146660768923912E-2</v>
      </c>
      <c r="BD45" s="306">
        <f t="shared" si="154"/>
        <v>3229867.4499999993</v>
      </c>
      <c r="BE45" s="482">
        <f t="shared" si="172"/>
        <v>3.1718417986854597E-2</v>
      </c>
      <c r="BF45" s="314">
        <f t="shared" si="155"/>
        <v>3269524.64</v>
      </c>
      <c r="BG45" s="315">
        <f t="shared" si="173"/>
        <v>0.1184359269494264</v>
      </c>
      <c r="BH45" s="306">
        <f>BH27</f>
        <v>3141222.78</v>
      </c>
      <c r="BI45" s="307">
        <f t="shared" si="173"/>
        <v>7.4148586889508206E-2</v>
      </c>
      <c r="BJ45" s="314">
        <f t="shared" si="156"/>
        <v>3107765.3100000005</v>
      </c>
      <c r="BK45" s="315">
        <f t="shared" si="157"/>
        <v>7.0066069484079341E-2</v>
      </c>
      <c r="BL45" s="285">
        <f>BL27-BN27</f>
        <v>3130570.6999999993</v>
      </c>
      <c r="BM45" s="308">
        <f t="shared" si="175"/>
        <v>0.11318186036220057</v>
      </c>
      <c r="BN45" s="314">
        <f t="shared" si="158"/>
        <v>2923300.8000000003</v>
      </c>
      <c r="BO45" s="315">
        <f t="shared" si="159"/>
        <v>6.4784535974471424E-2</v>
      </c>
      <c r="BP45" s="306">
        <f>BP27</f>
        <v>2924383.85</v>
      </c>
      <c r="BQ45" s="307">
        <f t="shared" si="174"/>
        <v>0.10073459270954066</v>
      </c>
      <c r="BR45" s="314">
        <f t="shared" si="160"/>
        <v>2904274.2299999995</v>
      </c>
      <c r="BS45" s="315">
        <f t="shared" si="161"/>
        <v>-1.0357386926953094E-2</v>
      </c>
      <c r="BT45" s="285">
        <f>BT27-BV27</f>
        <v>2812272.4699999988</v>
      </c>
      <c r="BU45" s="308">
        <f t="shared" si="162"/>
        <v>4.1815620227900974E-2</v>
      </c>
      <c r="BV45" s="314">
        <f t="shared" si="163"/>
        <v>2745438.82</v>
      </c>
      <c r="BW45" s="315">
        <f t="shared" si="164"/>
        <v>0.13351697309286603</v>
      </c>
      <c r="BX45" s="306">
        <f>BX27</f>
        <v>2656756.56</v>
      </c>
      <c r="BY45" s="307">
        <f t="shared" si="165"/>
        <v>0.20981628415300557</v>
      </c>
      <c r="BZ45" s="294">
        <f t="shared" si="166"/>
        <v>2934669.74</v>
      </c>
      <c r="CA45" s="285">
        <f t="shared" si="166"/>
        <v>2699395.5700000003</v>
      </c>
      <c r="CB45" s="314">
        <f t="shared" si="166"/>
        <v>2422053.5599999996</v>
      </c>
      <c r="CC45" s="323">
        <v>2196000</v>
      </c>
      <c r="CD45" s="320">
        <v>2320970.9399999985</v>
      </c>
      <c r="CE45" s="285">
        <v>2220636.2600000012</v>
      </c>
      <c r="CF45" s="286">
        <v>2061949.5899999999</v>
      </c>
      <c r="CG45" s="323">
        <v>1976223.1400000001</v>
      </c>
      <c r="CH45" s="286">
        <v>1948552.5300000003</v>
      </c>
      <c r="CI45" s="285">
        <v>1947994.5299999998</v>
      </c>
      <c r="CJ45" s="286">
        <v>1898400.56</v>
      </c>
      <c r="CK45" s="309">
        <v>1841132.4900000002</v>
      </c>
      <c r="CL45" s="286">
        <v>1895651.1799999997</v>
      </c>
      <c r="CM45" s="285">
        <v>1874055.1800000006</v>
      </c>
      <c r="CN45" s="286">
        <v>1843089.1500000004</v>
      </c>
      <c r="CO45" s="285">
        <v>1823440.0999999996</v>
      </c>
    </row>
    <row r="46" spans="1:93" ht="27.9" customHeight="1">
      <c r="A46" s="499" t="s">
        <v>1</v>
      </c>
      <c r="B46" s="314">
        <f t="shared" si="176"/>
        <v>60489559.418122157</v>
      </c>
      <c r="C46" s="315">
        <f t="shared" si="106"/>
        <v>1.9098837473888519</v>
      </c>
      <c r="D46" s="467">
        <f t="shared" si="107"/>
        <v>16181277.601877827</v>
      </c>
      <c r="E46" s="523">
        <f t="shared" si="108"/>
        <v>-0.20953966707824889</v>
      </c>
      <c r="F46" s="314">
        <f t="shared" si="109"/>
        <v>30600417.469911188</v>
      </c>
      <c r="G46" s="315">
        <f t="shared" si="110"/>
        <v>-0.37480365135926952</v>
      </c>
      <c r="H46" s="467">
        <f t="shared" si="111"/>
        <v>58536015.699999988</v>
      </c>
      <c r="I46" s="482">
        <f t="shared" si="112"/>
        <v>6.7359675272884445</v>
      </c>
      <c r="J46" s="314">
        <f t="shared" si="113"/>
        <v>20787620.629999984</v>
      </c>
      <c r="K46" s="315">
        <f t="shared" si="114"/>
        <v>5.4904064621599371</v>
      </c>
      <c r="L46" s="467">
        <f t="shared" si="115"/>
        <v>20470701.600000005</v>
      </c>
      <c r="M46" s="523">
        <f t="shared" si="116"/>
        <v>1.9747363213327787</v>
      </c>
      <c r="N46" s="314">
        <f t="shared" si="117"/>
        <v>48945291.405557677</v>
      </c>
      <c r="O46" s="315">
        <f t="shared" si="118"/>
        <v>-38.714412056665516</v>
      </c>
      <c r="P46" s="467">
        <f t="shared" si="119"/>
        <v>7566734.9292141628</v>
      </c>
      <c r="Q46" s="482">
        <f t="shared" si="120"/>
        <v>9.8081059595246378E-2</v>
      </c>
      <c r="R46" s="314">
        <f t="shared" si="121"/>
        <v>3202822.6199999945</v>
      </c>
      <c r="S46" s="315">
        <f t="shared" si="122"/>
        <v>-0.83060676696138513</v>
      </c>
      <c r="T46" s="467">
        <f t="shared" si="123"/>
        <v>6881518.019999993</v>
      </c>
      <c r="U46" s="523">
        <f t="shared" si="124"/>
        <v>-0.61807187829799815</v>
      </c>
      <c r="V46" s="314">
        <f t="shared" si="125"/>
        <v>-1297787.4700000063</v>
      </c>
      <c r="W46" s="315">
        <f t="shared" si="126"/>
        <v>-1.1884965309803757</v>
      </c>
      <c r="X46" s="467">
        <f t="shared" si="127"/>
        <v>6890871.0000000075</v>
      </c>
      <c r="Y46" s="482">
        <f t="shared" si="167"/>
        <v>-0.28076935835491124</v>
      </c>
      <c r="Z46" s="314">
        <f t="shared" si="128"/>
        <v>18907618.459999993</v>
      </c>
      <c r="AA46" s="315">
        <f t="shared" si="129"/>
        <v>0.52904978213710185</v>
      </c>
      <c r="AB46" s="467">
        <f t="shared" si="130"/>
        <v>18017835.369999997</v>
      </c>
      <c r="AC46" s="512">
        <f t="shared" si="131"/>
        <v>0.22512904176427484</v>
      </c>
      <c r="AD46" s="314">
        <f t="shared" si="132"/>
        <v>6884940.8699999824</v>
      </c>
      <c r="AE46" s="315">
        <f t="shared" si="133"/>
        <v>0.1062640036992808</v>
      </c>
      <c r="AF46" s="467">
        <f t="shared" si="134"/>
        <v>9580891.8599999994</v>
      </c>
      <c r="AG46" s="482">
        <f t="shared" si="135"/>
        <v>0.22637605468107358</v>
      </c>
      <c r="AH46" s="314">
        <f t="shared" si="136"/>
        <v>12365600.31000001</v>
      </c>
      <c r="AI46" s="315">
        <f t="shared" si="168"/>
        <v>-0.40290990788727099</v>
      </c>
      <c r="AJ46" s="467">
        <f t="shared" si="137"/>
        <v>14706887.810000002</v>
      </c>
      <c r="AK46" s="307">
        <f t="shared" si="138"/>
        <v>-0.24077502025222419</v>
      </c>
      <c r="AL46" s="314">
        <f t="shared" si="139"/>
        <v>6223596.580000028</v>
      </c>
      <c r="AM46" s="315">
        <f t="shared" si="140"/>
        <v>-0.37424599320498197</v>
      </c>
      <c r="AN46" s="467">
        <f t="shared" si="141"/>
        <v>7812360.509999983</v>
      </c>
      <c r="AO46" s="482">
        <f t="shared" si="142"/>
        <v>1.0118755155337857</v>
      </c>
      <c r="AP46" s="314">
        <f t="shared" si="143"/>
        <v>20709773.069999993</v>
      </c>
      <c r="AQ46" s="315">
        <f t="shared" si="169"/>
        <v>0.65083896400007268</v>
      </c>
      <c r="AR46" s="467">
        <f t="shared" si="144"/>
        <v>19370921.930000007</v>
      </c>
      <c r="AS46" s="307">
        <f t="shared" si="145"/>
        <v>1.1548179820161866</v>
      </c>
      <c r="AT46" s="314">
        <f t="shared" si="146"/>
        <v>9945755.8599999957</v>
      </c>
      <c r="AU46" s="315">
        <f t="shared" si="147"/>
        <v>-7.0441597337684847E-3</v>
      </c>
      <c r="AV46" s="467">
        <f t="shared" si="148"/>
        <v>3883123.2100000121</v>
      </c>
      <c r="AW46" s="482">
        <f t="shared" si="149"/>
        <v>-33.60972151259184</v>
      </c>
      <c r="AX46" s="314">
        <f t="shared" si="150"/>
        <v>12544998.949999996</v>
      </c>
      <c r="AY46" s="315">
        <f t="shared" si="170"/>
        <v>2.3101762116234554</v>
      </c>
      <c r="AZ46" s="467">
        <f t="shared" si="151"/>
        <v>8989586.1699999943</v>
      </c>
      <c r="BA46" s="307">
        <f t="shared" si="152"/>
        <v>-0.26777906694778808</v>
      </c>
      <c r="BB46" s="314">
        <f t="shared" si="153"/>
        <v>10016312.364237001</v>
      </c>
      <c r="BC46" s="315">
        <f t="shared" si="177"/>
        <v>5.6766290676228222</v>
      </c>
      <c r="BD46" s="306">
        <f t="shared" si="154"/>
        <v>-119078.69892420247</v>
      </c>
      <c r="BE46" s="482">
        <f t="shared" si="172"/>
        <v>-1.0208879903857626</v>
      </c>
      <c r="BF46" s="314">
        <f t="shared" si="155"/>
        <v>3789828.1384383999</v>
      </c>
      <c r="BG46" s="315">
        <f t="shared" si="173"/>
        <v>1.8808452066154224E-2</v>
      </c>
      <c r="BH46" s="306">
        <f>BH44+BH45</f>
        <v>12277149.920485789</v>
      </c>
      <c r="BI46" s="307">
        <f t="shared" si="173"/>
        <v>0.82090786498827484</v>
      </c>
      <c r="BJ46" s="314">
        <f t="shared" si="156"/>
        <v>1500205.0080645345</v>
      </c>
      <c r="BK46" s="315">
        <f t="shared" si="157"/>
        <v>-0.85994272219006418</v>
      </c>
      <c r="BL46" s="306">
        <f t="shared" ref="BL46" si="178">BL44+BL45</f>
        <v>5700821.2243034849</v>
      </c>
      <c r="BM46" s="308">
        <f t="shared" si="175"/>
        <v>-9.2944477312663007</v>
      </c>
      <c r="BN46" s="314">
        <f t="shared" si="158"/>
        <v>3719863.2684609052</v>
      </c>
      <c r="BO46" s="315">
        <f t="shared" si="159"/>
        <v>-0.68647402203348995</v>
      </c>
      <c r="BP46" s="306">
        <f>BP44+BP45</f>
        <v>6742323.5170467254</v>
      </c>
      <c r="BQ46" s="307">
        <f t="shared" si="174"/>
        <v>-0.18770295094758604</v>
      </c>
      <c r="BR46" s="314">
        <f t="shared" si="160"/>
        <v>10711367.745561793</v>
      </c>
      <c r="BS46" s="315">
        <f t="shared" si="161"/>
        <v>4.0493962089541764</v>
      </c>
      <c r="BT46" s="306">
        <f t="shared" ref="BT46" si="179">BT44+BT45</f>
        <v>-687305.70244164392</v>
      </c>
      <c r="BU46" s="308">
        <f t="shared" si="162"/>
        <v>-0.85530176422662496</v>
      </c>
      <c r="BV46" s="314">
        <f t="shared" si="163"/>
        <v>11864609.409999989</v>
      </c>
      <c r="BW46" s="315">
        <f t="shared" si="164"/>
        <v>-0.14080049872376099</v>
      </c>
      <c r="BX46" s="306">
        <f>BX44+BX45</f>
        <v>8300317.629999999</v>
      </c>
      <c r="BY46" s="307">
        <f t="shared" si="165"/>
        <v>0.59353748249054883</v>
      </c>
      <c r="BZ46" s="294">
        <f>BZ28-CA28</f>
        <v>2121316.5500000082</v>
      </c>
      <c r="CA46" s="306">
        <f t="shared" ref="CA46" si="180">CA44+CA45</f>
        <v>-4749924.5500000129</v>
      </c>
      <c r="CB46" s="314">
        <f>CB28-CC28</f>
        <v>13808910.959999997</v>
      </c>
      <c r="CC46" s="323">
        <f>CC44+CC45</f>
        <v>5208736.99</v>
      </c>
      <c r="CD46" s="294">
        <f t="shared" ref="CD46:CO46" si="181">CD44+CD45</f>
        <v>799312.94999999646</v>
      </c>
      <c r="CE46" s="306">
        <f t="shared" si="181"/>
        <v>1134810.5800000015</v>
      </c>
      <c r="CF46" s="294">
        <f t="shared" si="181"/>
        <v>14440622.110000001</v>
      </c>
      <c r="CG46" s="323">
        <f t="shared" si="181"/>
        <v>9049233.4900000002</v>
      </c>
      <c r="CH46" s="294">
        <f t="shared" si="181"/>
        <v>-2595286.46</v>
      </c>
      <c r="CI46" s="306">
        <f t="shared" si="181"/>
        <v>1306521.3500000001</v>
      </c>
      <c r="CJ46" s="294">
        <f t="shared" si="181"/>
        <v>9878649.9000000004</v>
      </c>
      <c r="CK46" s="310">
        <f t="shared" si="181"/>
        <v>7683443.2200000007</v>
      </c>
      <c r="CL46" s="294">
        <f t="shared" si="181"/>
        <v>3583498.2899999991</v>
      </c>
      <c r="CM46" s="306">
        <f t="shared" si="181"/>
        <v>1102191.2000000002</v>
      </c>
      <c r="CN46" s="294">
        <f t="shared" si="181"/>
        <v>6554622.870000001</v>
      </c>
      <c r="CO46" s="306">
        <f t="shared" si="181"/>
        <v>6983512.3399999999</v>
      </c>
    </row>
    <row r="47" spans="1:93" ht="27.9" customHeight="1">
      <c r="A47" s="499" t="s">
        <v>6</v>
      </c>
      <c r="B47" s="314">
        <f t="shared" si="176"/>
        <v>58038261.703969151</v>
      </c>
      <c r="C47" s="315">
        <f t="shared" si="106"/>
        <v>2.1070675446172671</v>
      </c>
      <c r="D47" s="467">
        <f t="shared" si="107"/>
        <v>14450480.006030828</v>
      </c>
      <c r="E47" s="523">
        <f t="shared" si="108"/>
        <v>-0.20523123350178385</v>
      </c>
      <c r="F47" s="314">
        <f t="shared" si="109"/>
        <v>28946370.936542273</v>
      </c>
      <c r="G47" s="315">
        <f t="shared" si="110"/>
        <v>-0.35347692882905202</v>
      </c>
      <c r="H47" s="467">
        <f t="shared" si="111"/>
        <v>55280867.859999999</v>
      </c>
      <c r="I47" s="482">
        <f t="shared" si="112"/>
        <v>8.7294819326107724</v>
      </c>
      <c r="J47" s="314">
        <f t="shared" si="113"/>
        <v>18679433.539999977</v>
      </c>
      <c r="K47" s="315">
        <f t="shared" si="114"/>
        <v>27.614742131075122</v>
      </c>
      <c r="L47" s="467">
        <f t="shared" si="115"/>
        <v>18181992.820000008</v>
      </c>
      <c r="M47" s="523">
        <f t="shared" si="116"/>
        <v>6.017660101849307</v>
      </c>
      <c r="N47" s="314">
        <f t="shared" si="117"/>
        <v>44772371.2072891</v>
      </c>
      <c r="O47" s="315">
        <f t="shared" si="118"/>
        <v>-8.5855844247443009</v>
      </c>
      <c r="P47" s="467">
        <f t="shared" si="119"/>
        <v>5681789.4563031625</v>
      </c>
      <c r="Q47" s="482">
        <f t="shared" si="120"/>
        <v>1.2463668606903702</v>
      </c>
      <c r="R47" s="314">
        <f t="shared" si="121"/>
        <v>652790.55999999493</v>
      </c>
      <c r="S47" s="315">
        <f t="shared" si="122"/>
        <v>-0.95476069232049832</v>
      </c>
      <c r="T47" s="467">
        <f t="shared" si="123"/>
        <v>2590891.0599999926</v>
      </c>
      <c r="U47" s="523">
        <f t="shared" si="124"/>
        <v>-0.81275501065587719</v>
      </c>
      <c r="V47" s="314">
        <f t="shared" si="125"/>
        <v>-5902296.8700000085</v>
      </c>
      <c r="W47" s="315">
        <f t="shared" si="126"/>
        <v>-2.9844823671538876</v>
      </c>
      <c r="X47" s="467">
        <f t="shared" si="127"/>
        <v>2529323.9300000146</v>
      </c>
      <c r="Y47" s="482">
        <f t="shared" si="167"/>
        <v>-0.57742281920013516</v>
      </c>
      <c r="Z47" s="314">
        <f t="shared" si="128"/>
        <v>14429720.379999992</v>
      </c>
      <c r="AA47" s="315">
        <f t="shared" si="129"/>
        <v>0.56745004572969027</v>
      </c>
      <c r="AB47" s="467">
        <f t="shared" si="130"/>
        <v>13836904.629999995</v>
      </c>
      <c r="AC47" s="512">
        <f t="shared" si="131"/>
        <v>0.22833827717671284</v>
      </c>
      <c r="AD47" s="314">
        <f t="shared" si="132"/>
        <v>2974224.8999999873</v>
      </c>
      <c r="AE47" s="315">
        <f t="shared" si="133"/>
        <v>0.33201112936094068</v>
      </c>
      <c r="AF47" s="467">
        <f t="shared" si="134"/>
        <v>5985472.109999992</v>
      </c>
      <c r="AG47" s="482">
        <f t="shared" si="135"/>
        <v>0.35318203770536538</v>
      </c>
      <c r="AH47" s="314">
        <f t="shared" si="136"/>
        <v>9205856.6200000122</v>
      </c>
      <c r="AI47" s="315">
        <f t="shared" si="168"/>
        <v>-0.45074850726172089</v>
      </c>
      <c r="AJ47" s="467">
        <f t="shared" si="137"/>
        <v>11264734.550000001</v>
      </c>
      <c r="AK47" s="307">
        <f t="shared" si="138"/>
        <v>-0.25251228346678345</v>
      </c>
      <c r="AL47" s="314">
        <f t="shared" si="139"/>
        <v>2232882.9200000241</v>
      </c>
      <c r="AM47" s="315">
        <f t="shared" si="140"/>
        <v>-0.63845112995645326</v>
      </c>
      <c r="AN47" s="467">
        <f t="shared" si="141"/>
        <v>4423257.1399999894</v>
      </c>
      <c r="AO47" s="482">
        <f t="shared" si="142"/>
        <v>30.983813501312941</v>
      </c>
      <c r="AP47" s="314">
        <f t="shared" si="143"/>
        <v>16760731.179999989</v>
      </c>
      <c r="AQ47" s="315">
        <f t="shared" si="169"/>
        <v>0.19248484410767897</v>
      </c>
      <c r="AR47" s="467">
        <f t="shared" si="144"/>
        <v>15070126.640000008</v>
      </c>
      <c r="AS47" s="307">
        <f t="shared" si="145"/>
        <v>1.9336292592218398</v>
      </c>
      <c r="AT47" s="314">
        <f t="shared" si="146"/>
        <v>6175881.3399999961</v>
      </c>
      <c r="AU47" s="315">
        <f t="shared" si="147"/>
        <v>6.6993501350722795E-2</v>
      </c>
      <c r="AV47" s="467">
        <f t="shared" si="148"/>
        <v>138296.74000001326</v>
      </c>
      <c r="AW47" s="482">
        <f t="shared" si="149"/>
        <v>-1.0339411367339504</v>
      </c>
      <c r="AX47" s="314">
        <f t="shared" si="150"/>
        <v>14055299.119999994</v>
      </c>
      <c r="AY47" s="315">
        <f t="shared" si="170"/>
        <v>-15.920543186553498</v>
      </c>
      <c r="AZ47" s="467">
        <f t="shared" si="151"/>
        <v>5137024.929999995</v>
      </c>
      <c r="BA47" s="307">
        <f t="shared" si="152"/>
        <v>-0.34364886965676666</v>
      </c>
      <c r="BB47" s="314">
        <f t="shared" si="153"/>
        <v>5788115.2342370003</v>
      </c>
      <c r="BC47" s="315">
        <f t="shared" si="177"/>
        <v>-4.2251515620942879</v>
      </c>
      <c r="BD47" s="306">
        <f t="shared" si="154"/>
        <v>-4074605.4289242034</v>
      </c>
      <c r="BE47" s="482">
        <f t="shared" si="172"/>
        <v>-4.1725307032168892</v>
      </c>
      <c r="BF47" s="314">
        <f t="shared" si="155"/>
        <v>-942009.88156159967</v>
      </c>
      <c r="BG47" s="315">
        <f t="shared" si="173"/>
        <v>-2.1774924057297507</v>
      </c>
      <c r="BH47" s="306">
        <f>BH29</f>
        <v>7826641.4004857903</v>
      </c>
      <c r="BI47" s="307">
        <f t="shared" si="173"/>
        <v>0.91722229012261791</v>
      </c>
      <c r="BJ47" s="314">
        <f t="shared" si="156"/>
        <v>-1794680.0709354645</v>
      </c>
      <c r="BK47" s="315">
        <f t="shared" si="157"/>
        <v>-1.2812661211171938</v>
      </c>
      <c r="BL47" s="285">
        <f>BL29-BN29</f>
        <v>1284339.163303487</v>
      </c>
      <c r="BM47" s="308">
        <f t="shared" si="175"/>
        <v>-1.3615855689342991</v>
      </c>
      <c r="BN47" s="314">
        <f t="shared" si="158"/>
        <v>800013.55166090373</v>
      </c>
      <c r="BO47" s="315">
        <f t="shared" si="159"/>
        <v>-0.89057147750065813</v>
      </c>
      <c r="BP47" s="306">
        <f>BP29</f>
        <v>4082281.6638467256</v>
      </c>
      <c r="BQ47" s="307">
        <f t="shared" si="174"/>
        <v>-0.19627980325398653</v>
      </c>
      <c r="BR47" s="314">
        <f t="shared" si="160"/>
        <v>6380718.956861794</v>
      </c>
      <c r="BS47" s="315">
        <f t="shared" si="161"/>
        <v>-4.4215411038553762</v>
      </c>
      <c r="BT47" s="285">
        <f>BT29-BV29</f>
        <v>-3551964.662441643</v>
      </c>
      <c r="BU47" s="308">
        <f t="shared" si="162"/>
        <v>-0.56518154601574344</v>
      </c>
      <c r="BV47" s="314">
        <f t="shared" si="163"/>
        <v>7310832.0699999882</v>
      </c>
      <c r="BW47" s="315">
        <f t="shared" si="164"/>
        <v>-0.32637273833401048</v>
      </c>
      <c r="BX47" s="306">
        <f>BX29</f>
        <v>5079232.3999999994</v>
      </c>
      <c r="BY47" s="307">
        <f t="shared" si="165"/>
        <v>0.7015738730961556</v>
      </c>
      <c r="BZ47" s="294">
        <f>BZ29-CA29</f>
        <v>-1864866.9599999925</v>
      </c>
      <c r="CA47" s="285">
        <f>CA29-CB29</f>
        <v>-8168845.250000013</v>
      </c>
      <c r="CB47" s="314">
        <f>CB29-CC29</f>
        <v>10852933.789999999</v>
      </c>
      <c r="CC47" s="323">
        <v>2985020.21</v>
      </c>
      <c r="CD47" s="320">
        <v>-2729125.92</v>
      </c>
      <c r="CE47" s="285">
        <v>-1457536.0700000022</v>
      </c>
      <c r="CF47" s="286">
        <v>11163174.32</v>
      </c>
      <c r="CG47" s="323">
        <v>6560341.2800000003</v>
      </c>
      <c r="CH47" s="286">
        <v>-4963184.1399999997</v>
      </c>
      <c r="CI47" s="285">
        <v>-1193835.3599999994</v>
      </c>
      <c r="CJ47" s="286">
        <v>6737418.1799999997</v>
      </c>
      <c r="CK47" s="309">
        <v>5046721.43</v>
      </c>
      <c r="CL47" s="286">
        <v>314233.78000000026</v>
      </c>
      <c r="CM47" s="285">
        <v>-1755089.62</v>
      </c>
      <c r="CN47" s="286">
        <v>3254065.37</v>
      </c>
      <c r="CO47" s="285">
        <v>4196060.5599999996</v>
      </c>
    </row>
    <row r="48" spans="1:93" ht="27.9" customHeight="1">
      <c r="A48" s="499" t="s">
        <v>7</v>
      </c>
      <c r="B48" s="314">
        <f t="shared" si="176"/>
        <v>45331350.979800284</v>
      </c>
      <c r="C48" s="315">
        <f t="shared" si="106"/>
        <v>2.0230643143027227</v>
      </c>
      <c r="D48" s="467">
        <f t="shared" si="107"/>
        <v>11560850.570199698</v>
      </c>
      <c r="E48" s="523">
        <f t="shared" si="108"/>
        <v>-0.22108879927226188</v>
      </c>
      <c r="F48" s="314">
        <f t="shared" si="109"/>
        <v>26131931.254362062</v>
      </c>
      <c r="G48" s="315">
        <f t="shared" si="110"/>
        <v>-0.30710462220842127</v>
      </c>
      <c r="H48" s="467">
        <f t="shared" si="111"/>
        <v>44551920.609999999</v>
      </c>
      <c r="I48" s="482">
        <f t="shared" si="112"/>
        <v>10.34825059318038</v>
      </c>
      <c r="J48" s="314">
        <f t="shared" si="113"/>
        <v>14995165.919999976</v>
      </c>
      <c r="K48" s="315">
        <f t="shared" si="114"/>
        <v>8.5919423202815004</v>
      </c>
      <c r="L48" s="467">
        <f t="shared" si="115"/>
        <v>14842321.640000008</v>
      </c>
      <c r="M48" s="523">
        <f t="shared" si="116"/>
        <v>5.9064440566004466</v>
      </c>
      <c r="N48" s="314">
        <f t="shared" si="117"/>
        <v>37714108.2072891</v>
      </c>
      <c r="O48" s="315">
        <f t="shared" si="118"/>
        <v>-8.4694199947625961</v>
      </c>
      <c r="P48" s="467">
        <f t="shared" si="119"/>
        <v>3925884.456303163</v>
      </c>
      <c r="Q48" s="482">
        <f t="shared" si="120"/>
        <v>0.91527680142908974</v>
      </c>
      <c r="R48" s="314">
        <f t="shared" si="121"/>
        <v>1563308.599999995</v>
      </c>
      <c r="S48" s="315">
        <f t="shared" si="122"/>
        <v>-0.8702987767435767</v>
      </c>
      <c r="T48" s="467">
        <f t="shared" si="123"/>
        <v>2149054.0599999926</v>
      </c>
      <c r="U48" s="523">
        <f t="shared" si="124"/>
        <v>-0.81033667250565311</v>
      </c>
      <c r="V48" s="314">
        <f t="shared" si="125"/>
        <v>-5049134.770000007</v>
      </c>
      <c r="W48" s="315">
        <f t="shared" si="126"/>
        <v>-3.3758861297583276</v>
      </c>
      <c r="X48" s="467">
        <f t="shared" si="127"/>
        <v>2049773.9300000146</v>
      </c>
      <c r="Y48" s="482">
        <f t="shared" si="167"/>
        <v>-0.59203578887974517</v>
      </c>
      <c r="Z48" s="314">
        <f t="shared" si="128"/>
        <v>12053152.319999991</v>
      </c>
      <c r="AA48" s="315">
        <f t="shared" si="129"/>
        <v>0.54074939058014704</v>
      </c>
      <c r="AB48" s="467">
        <f t="shared" si="130"/>
        <v>11330888.729999995</v>
      </c>
      <c r="AC48" s="512">
        <f t="shared" si="131"/>
        <v>0.24408289463590882</v>
      </c>
      <c r="AD48" s="314">
        <f t="shared" si="132"/>
        <v>2125158.5699999854</v>
      </c>
      <c r="AE48" s="315">
        <f t="shared" si="133"/>
        <v>0.18613551012900698</v>
      </c>
      <c r="AF48" s="467">
        <f t="shared" si="134"/>
        <v>5024396.4399999939</v>
      </c>
      <c r="AG48" s="482">
        <f t="shared" si="135"/>
        <v>0.42474708495332147</v>
      </c>
      <c r="AH48" s="314">
        <f t="shared" si="136"/>
        <v>7822915.5200000107</v>
      </c>
      <c r="AI48" s="315">
        <f>(AH48/AP48)-1</f>
        <v>-0.42202960484843233</v>
      </c>
      <c r="AJ48" s="467">
        <f t="shared" si="137"/>
        <v>9107824.5500000007</v>
      </c>
      <c r="AK48" s="307">
        <f t="shared" si="138"/>
        <v>-0.25763273719593904</v>
      </c>
      <c r="AL48" s="314">
        <f t="shared" si="139"/>
        <v>1791665.9200000241</v>
      </c>
      <c r="AM48" s="315">
        <f t="shared" si="140"/>
        <v>-0.60338887179782641</v>
      </c>
      <c r="AN48" s="467">
        <f t="shared" si="141"/>
        <v>3526518.1399999894</v>
      </c>
      <c r="AO48" s="482">
        <f t="shared" si="142"/>
        <v>21.435213937255089</v>
      </c>
      <c r="AP48" s="314">
        <f t="shared" si="143"/>
        <v>13535149.179999989</v>
      </c>
      <c r="AQ48" s="315">
        <f>(AP48/AX48)-1</f>
        <v>0.15634718612938014</v>
      </c>
      <c r="AR48" s="467">
        <f t="shared" si="144"/>
        <v>12268623.640000008</v>
      </c>
      <c r="AS48" s="307">
        <f t="shared" si="145"/>
        <v>2.1384160552692157</v>
      </c>
      <c r="AT48" s="314">
        <f t="shared" si="146"/>
        <v>4517437.3399999961</v>
      </c>
      <c r="AU48" s="315">
        <f t="shared" si="147"/>
        <v>-4.218350097692658E-2</v>
      </c>
      <c r="AV48" s="467">
        <f t="shared" si="148"/>
        <v>157186.74000001326</v>
      </c>
      <c r="AW48" s="482">
        <f t="shared" si="149"/>
        <v>-1.0495262217364811</v>
      </c>
      <c r="AX48" s="314">
        <f t="shared" si="150"/>
        <v>11705091.119999994</v>
      </c>
      <c r="AY48" s="315">
        <f t="shared" si="170"/>
        <v>-10.441532120105308</v>
      </c>
      <c r="AZ48" s="467">
        <f t="shared" si="151"/>
        <v>3909176.929999995</v>
      </c>
      <c r="BA48" s="307">
        <f t="shared" si="152"/>
        <v>-0.37631875256871705</v>
      </c>
      <c r="BB48" s="314">
        <f t="shared" si="153"/>
        <v>4716391.2342370003</v>
      </c>
      <c r="BC48" s="315">
        <f t="shared" si="177"/>
        <v>-3.329812316363761</v>
      </c>
      <c r="BD48" s="306">
        <f t="shared" si="154"/>
        <v>-3173808.4289242034</v>
      </c>
      <c r="BE48" s="482">
        <f t="shared" si="172"/>
        <v>-5.2466465455197628</v>
      </c>
      <c r="BF48" s="314">
        <f t="shared" si="155"/>
        <v>-1239744.8815615997</v>
      </c>
      <c r="BG48" s="315">
        <f t="shared" si="173"/>
        <v>-3.8614171171938616</v>
      </c>
      <c r="BH48" s="306">
        <f>BH30</f>
        <v>6267908.4004857903</v>
      </c>
      <c r="BI48" s="307">
        <f t="shared" si="173"/>
        <v>0.98028127673879006</v>
      </c>
      <c r="BJ48" s="314">
        <f t="shared" si="156"/>
        <v>-2024365.3109354647</v>
      </c>
      <c r="BK48" s="315">
        <f t="shared" si="157"/>
        <v>-1.4471357226142543</v>
      </c>
      <c r="BL48" s="285">
        <f>BL30-BN30</f>
        <v>747368.163303487</v>
      </c>
      <c r="BM48" s="308">
        <f t="shared" si="175"/>
        <v>-1.2405412003046574</v>
      </c>
      <c r="BN48" s="314">
        <f t="shared" si="158"/>
        <v>433262.55166090373</v>
      </c>
      <c r="BO48" s="315">
        <f t="shared" si="159"/>
        <v>-0.92349601920558488</v>
      </c>
      <c r="BP48" s="306">
        <f>BP30</f>
        <v>3165160.6638467256</v>
      </c>
      <c r="BQ48" s="307">
        <f t="shared" si="174"/>
        <v>-0.23133722905849341</v>
      </c>
      <c r="BR48" s="314">
        <f t="shared" si="160"/>
        <v>4527406.7996617947</v>
      </c>
      <c r="BS48" s="315">
        <f t="shared" si="161"/>
        <v>-20.970303512790011</v>
      </c>
      <c r="BT48" s="285">
        <f>BT30-BV30</f>
        <v>-3107027.662441643</v>
      </c>
      <c r="BU48" s="308">
        <f t="shared" si="162"/>
        <v>-0.55503292380591873</v>
      </c>
      <c r="BV48" s="314">
        <f t="shared" si="163"/>
        <v>5663268.0699999882</v>
      </c>
      <c r="BW48" s="315">
        <f t="shared" si="164"/>
        <v>-0.1894343426801679</v>
      </c>
      <c r="BX48" s="306">
        <f>BX30</f>
        <v>4117749.3999999994</v>
      </c>
      <c r="BY48" s="307">
        <f t="shared" si="165"/>
        <v>0.69208470499808161</v>
      </c>
      <c r="BZ48" s="294">
        <f>BZ30-CA30</f>
        <v>-226706.95999999251</v>
      </c>
      <c r="CA48" s="285">
        <f>CA30-CB30</f>
        <v>-6982601.250000013</v>
      </c>
      <c r="CB48" s="314">
        <f>CB30-CC30</f>
        <v>6986809.79</v>
      </c>
      <c r="CC48" s="323">
        <v>2433536.21</v>
      </c>
      <c r="CD48" s="320">
        <v>-2091508.5199999996</v>
      </c>
      <c r="CE48" s="285">
        <v>-1195929.0700000003</v>
      </c>
      <c r="CF48" s="286">
        <v>9283901.3200000003</v>
      </c>
      <c r="CG48" s="323">
        <v>4828559.28</v>
      </c>
      <c r="CH48" s="286">
        <v>-4039883.5300000003</v>
      </c>
      <c r="CI48" s="285">
        <v>-1377745.42</v>
      </c>
      <c r="CJ48" s="286">
        <v>4731424.78</v>
      </c>
      <c r="CK48" s="309">
        <v>3418685.37</v>
      </c>
      <c r="CL48" s="286">
        <v>2156624.88</v>
      </c>
      <c r="CM48" s="285">
        <v>-1461898.29</v>
      </c>
      <c r="CN48" s="286">
        <v>2102680.15</v>
      </c>
      <c r="CO48" s="285">
        <v>2842426.27</v>
      </c>
    </row>
    <row r="49" spans="2:6" ht="27.9" customHeight="1">
      <c r="F49" s="296"/>
    </row>
    <row r="50" spans="2:6" ht="27.9" customHeight="1">
      <c r="B50" s="479"/>
    </row>
    <row r="51" spans="2:6" ht="27.9" customHeight="1">
      <c r="B51" s="479"/>
    </row>
    <row r="52" spans="2:6" ht="27.9" customHeight="1">
      <c r="B52" s="479"/>
    </row>
    <row r="53" spans="2:6" ht="27.9" customHeight="1">
      <c r="B53" s="479"/>
    </row>
    <row r="54" spans="2:6">
      <c r="B54" s="479"/>
    </row>
    <row r="55" spans="2:6">
      <c r="B55" s="479"/>
    </row>
    <row r="56" spans="2:6">
      <c r="B56" s="479"/>
    </row>
    <row r="57" spans="2:6">
      <c r="B57" s="479"/>
    </row>
    <row r="58" spans="2:6">
      <c r="B58" s="479"/>
    </row>
    <row r="59" spans="2:6">
      <c r="B59" s="479"/>
    </row>
    <row r="60" spans="2:6">
      <c r="B60" s="479"/>
    </row>
    <row r="61" spans="2:6">
      <c r="B61" s="479"/>
    </row>
    <row r="62" spans="2:6">
      <c r="B62" s="479"/>
    </row>
    <row r="63" spans="2:6">
      <c r="B63" s="479"/>
    </row>
    <row r="64" spans="2:6">
      <c r="B64" s="479"/>
    </row>
    <row r="65" spans="2:2">
      <c r="B65" s="479"/>
    </row>
    <row r="66" spans="2:2">
      <c r="B66" s="479"/>
    </row>
    <row r="67" spans="2:2">
      <c r="B67" s="479"/>
    </row>
    <row r="68" spans="2:2">
      <c r="B68" s="479"/>
    </row>
    <row r="69" spans="2:2">
      <c r="B69" s="479"/>
    </row>
    <row r="70" spans="2:2">
      <c r="B70" s="479"/>
    </row>
    <row r="71" spans="2:2">
      <c r="B71" s="479"/>
    </row>
    <row r="72" spans="2:2">
      <c r="B72" s="479"/>
    </row>
    <row r="73" spans="2:2">
      <c r="B73" s="479"/>
    </row>
    <row r="74" spans="2:2">
      <c r="B74" s="479"/>
    </row>
    <row r="75" spans="2:2">
      <c r="B75" s="479"/>
    </row>
  </sheetData>
  <mergeCells count="4">
    <mergeCell ref="A39:L39"/>
    <mergeCell ref="A1:O1"/>
    <mergeCell ref="A3:L3"/>
    <mergeCell ref="A21:L21"/>
  </mergeCells>
  <pageMargins left="0.19685039370078741" right="0" top="0.19685039370078741" bottom="0.19685039370078741" header="0" footer="0"/>
  <pageSetup paperSize="9" scale="39" orientation="landscape" horizontalDpi="4294967293" verticalDpi="4294967293" r:id="rId1"/>
  <headerFooter>
    <oddFooter>&amp;RREDWOOD PR
powered by PROFESCAPITAL</oddFooter>
  </headerFooter>
  <ignoredErrors>
    <ignoredError sqref="CD46 CD28 BO28:BS28 S10:T10 BU28 BW28 BY28 BP46 BS41:BT48 BX46 CA46:CB46 BU41:BU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L73"/>
  <sheetViews>
    <sheetView showGridLines="0" zoomScale="60" zoomScaleNormal="60" zoomScaleSheetLayoutView="30" workbookViewId="0">
      <pane xSplit="1" ySplit="5" topLeftCell="B24" activePane="bottomRight" state="frozen"/>
      <selection activeCell="B51" sqref="B51"/>
      <selection pane="topRight" activeCell="B51" sqref="B51"/>
      <selection pane="bottomLeft" activeCell="B51" sqref="B51"/>
      <selection pane="bottomRight" activeCell="B29" sqref="B29"/>
    </sheetView>
  </sheetViews>
  <sheetFormatPr defaultRowHeight="18"/>
  <cols>
    <col min="1" max="1" width="106.33203125" customWidth="1"/>
    <col min="2" max="2" width="21.6640625" customWidth="1"/>
    <col min="3" max="3" width="24.6640625" customWidth="1"/>
    <col min="4" max="4" width="21.6640625" customWidth="1"/>
    <col min="5" max="5" width="23.44140625" customWidth="1"/>
    <col min="6" max="6" width="21.6640625" customWidth="1"/>
    <col min="7" max="7" width="24.6640625" customWidth="1"/>
    <col min="8" max="15" width="21.6640625" customWidth="1"/>
    <col min="16" max="16" width="21.5546875" customWidth="1"/>
    <col min="17" max="17" width="21.5546875" style="9" customWidth="1"/>
    <col min="18" max="18" width="21.6640625" customWidth="1"/>
    <col min="19" max="19" width="21.6640625" style="9" customWidth="1"/>
    <col min="20" max="32" width="21.6640625" customWidth="1"/>
    <col min="33" max="45" width="19.5546875" bestFit="1" customWidth="1"/>
    <col min="46" max="46" width="19.6640625" customWidth="1"/>
    <col min="47" max="47" width="16.33203125" customWidth="1"/>
    <col min="48" max="48" width="16.5546875" customWidth="1"/>
    <col min="49" max="49" width="16.33203125" customWidth="1"/>
  </cols>
  <sheetData>
    <row r="1" spans="1:64" ht="50.1" customHeight="1">
      <c r="A1" s="337" t="s">
        <v>140</v>
      </c>
      <c r="B1" s="337"/>
      <c r="C1" s="337"/>
      <c r="D1" s="337"/>
      <c r="E1" s="337"/>
      <c r="F1" s="337"/>
      <c r="G1" s="337"/>
      <c r="H1" s="337"/>
      <c r="I1" s="337"/>
      <c r="J1" s="337"/>
      <c r="K1" s="130"/>
      <c r="L1" s="130"/>
      <c r="M1" s="130"/>
      <c r="N1" s="130"/>
      <c r="O1" s="130"/>
      <c r="P1" s="130"/>
      <c r="Q1" s="167"/>
      <c r="R1" s="130"/>
      <c r="S1" s="167"/>
      <c r="T1" s="130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09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4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68"/>
      <c r="R2" s="4"/>
      <c r="S2" s="168"/>
      <c r="T2" s="4"/>
      <c r="AG2" s="1"/>
      <c r="AH2" s="1"/>
      <c r="AI2" s="1"/>
    </row>
    <row r="3" spans="1:64" ht="27.9" customHeight="1">
      <c r="A3" s="338" t="s">
        <v>195</v>
      </c>
      <c r="B3" s="338"/>
      <c r="C3" s="338"/>
      <c r="D3" s="338"/>
      <c r="E3" s="338"/>
      <c r="F3" s="338"/>
      <c r="G3" s="338"/>
      <c r="H3" s="338"/>
      <c r="I3" s="338"/>
      <c r="J3" s="338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</row>
    <row r="4" spans="1:64" ht="27.9" customHeight="1">
      <c r="T4" s="25"/>
      <c r="U4" s="25"/>
      <c r="V4" s="25"/>
      <c r="W4" s="25"/>
      <c r="X4" s="25"/>
      <c r="Y4" s="9"/>
      <c r="Z4" s="9"/>
      <c r="AA4" s="9"/>
      <c r="AB4" s="9"/>
      <c r="AC4" s="9"/>
      <c r="AD4" s="9"/>
      <c r="AE4" s="9"/>
      <c r="AF4" s="9"/>
    </row>
    <row r="5" spans="1:64" ht="27.9" customHeight="1">
      <c r="A5" s="324"/>
      <c r="B5" s="18" t="s">
        <v>287</v>
      </c>
      <c r="C5" s="325" t="s">
        <v>285</v>
      </c>
      <c r="D5" s="18" t="s">
        <v>283</v>
      </c>
      <c r="E5" s="487" t="s">
        <v>278</v>
      </c>
      <c r="F5" s="18" t="s">
        <v>276</v>
      </c>
      <c r="G5" s="325" t="s">
        <v>274</v>
      </c>
      <c r="H5" s="18" t="s">
        <v>273</v>
      </c>
      <c r="I5" s="487" t="s">
        <v>268</v>
      </c>
      <c r="J5" s="18" t="s">
        <v>266</v>
      </c>
      <c r="K5" s="325" t="s">
        <v>264</v>
      </c>
      <c r="L5" s="18" t="s">
        <v>256</v>
      </c>
      <c r="M5" s="487" t="s">
        <v>252</v>
      </c>
      <c r="N5" s="18" t="s">
        <v>249</v>
      </c>
      <c r="O5" s="325" t="s">
        <v>247</v>
      </c>
      <c r="P5" s="18" t="s">
        <v>245</v>
      </c>
      <c r="Q5" s="487" t="s">
        <v>241</v>
      </c>
      <c r="R5" s="18" t="s">
        <v>239</v>
      </c>
      <c r="S5" s="325" t="s">
        <v>237</v>
      </c>
      <c r="T5" s="18" t="s">
        <v>235</v>
      </c>
      <c r="U5" s="487" t="s">
        <v>230</v>
      </c>
      <c r="V5" s="18" t="s">
        <v>227</v>
      </c>
      <c r="W5" s="325" t="s">
        <v>225</v>
      </c>
      <c r="X5" s="18" t="s">
        <v>220</v>
      </c>
      <c r="Y5" s="487" t="s">
        <v>216</v>
      </c>
      <c r="Z5" s="18" t="s">
        <v>214</v>
      </c>
      <c r="AA5" s="325" t="s">
        <v>212</v>
      </c>
      <c r="AB5" s="18" t="s">
        <v>208</v>
      </c>
      <c r="AC5" s="17" t="s">
        <v>206</v>
      </c>
      <c r="AD5" s="18" t="s">
        <v>203</v>
      </c>
      <c r="AE5" s="325" t="s">
        <v>202</v>
      </c>
      <c r="AF5" s="18" t="s">
        <v>201</v>
      </c>
      <c r="AG5" s="17" t="s">
        <v>198</v>
      </c>
      <c r="AH5" s="18" t="s">
        <v>192</v>
      </c>
      <c r="AI5" s="325" t="s">
        <v>190</v>
      </c>
      <c r="AJ5" s="18" t="s">
        <v>196</v>
      </c>
      <c r="AK5" s="17" t="s">
        <v>187</v>
      </c>
      <c r="AL5" s="18" t="s">
        <v>185</v>
      </c>
      <c r="AM5" s="325" t="s">
        <v>183</v>
      </c>
      <c r="AN5" s="24" t="s">
        <v>181</v>
      </c>
      <c r="AO5" s="17" t="s">
        <v>179</v>
      </c>
      <c r="AP5" s="18" t="s">
        <v>175</v>
      </c>
      <c r="AQ5" s="325" t="s">
        <v>155</v>
      </c>
      <c r="AR5" s="18" t="s">
        <v>114</v>
      </c>
      <c r="AS5" s="17" t="s">
        <v>14</v>
      </c>
      <c r="AT5" s="18" t="s">
        <v>15</v>
      </c>
      <c r="AU5" s="326" t="s">
        <v>16</v>
      </c>
      <c r="AV5" s="24" t="s">
        <v>17</v>
      </c>
      <c r="AW5" s="17" t="s">
        <v>18</v>
      </c>
      <c r="AX5" s="24" t="s">
        <v>19</v>
      </c>
      <c r="AY5" s="326" t="s">
        <v>20</v>
      </c>
      <c r="AZ5" s="24" t="s">
        <v>21</v>
      </c>
      <c r="BA5" s="17" t="s">
        <v>22</v>
      </c>
      <c r="BB5" s="24" t="s">
        <v>23</v>
      </c>
      <c r="BC5" s="17" t="s">
        <v>24</v>
      </c>
    </row>
    <row r="6" spans="1:64" ht="27.9" customHeight="1">
      <c r="A6" s="327" t="s">
        <v>59</v>
      </c>
      <c r="B6" s="327"/>
      <c r="C6" s="329"/>
      <c r="D6" s="327"/>
      <c r="E6" s="53"/>
      <c r="F6" s="327"/>
      <c r="G6" s="329"/>
      <c r="H6" s="327"/>
      <c r="I6" s="53"/>
      <c r="J6" s="327"/>
      <c r="K6" s="329"/>
      <c r="L6" s="327"/>
      <c r="M6" s="53"/>
      <c r="N6" s="327"/>
      <c r="O6" s="329"/>
      <c r="P6" s="327"/>
      <c r="Q6" s="53"/>
      <c r="R6" s="327"/>
      <c r="S6" s="329"/>
      <c r="T6" s="327"/>
      <c r="U6" s="53"/>
      <c r="V6" s="327"/>
      <c r="W6" s="329"/>
      <c r="X6" s="327"/>
      <c r="Y6" s="53"/>
      <c r="Z6" s="327"/>
      <c r="AA6" s="329"/>
      <c r="AB6" s="327"/>
      <c r="AC6" s="330"/>
      <c r="AD6" s="327"/>
      <c r="AE6" s="329"/>
      <c r="AF6" s="327"/>
      <c r="AG6" s="330"/>
      <c r="AH6" s="328"/>
      <c r="AI6" s="329"/>
      <c r="AJ6" s="327"/>
      <c r="AK6" s="330"/>
      <c r="AL6" s="328"/>
      <c r="AM6" s="329"/>
      <c r="AN6" s="331"/>
      <c r="AO6" s="330"/>
      <c r="AP6" s="328"/>
      <c r="AQ6" s="329"/>
      <c r="AR6" s="332"/>
      <c r="AS6" s="330"/>
      <c r="AT6" s="332"/>
      <c r="AU6" s="333"/>
      <c r="AV6" s="334"/>
      <c r="AW6" s="330"/>
      <c r="AX6" s="334"/>
      <c r="AY6" s="333"/>
      <c r="AZ6" s="334"/>
      <c r="BA6" s="330"/>
      <c r="BB6" s="334"/>
      <c r="BC6" s="330"/>
    </row>
    <row r="7" spans="1:64" ht="27.9" customHeight="1">
      <c r="A7" s="10" t="s">
        <v>9</v>
      </c>
      <c r="B7" s="10"/>
      <c r="C7" s="163"/>
      <c r="D7" s="10"/>
      <c r="E7" s="29"/>
      <c r="F7" s="10"/>
      <c r="G7" s="163"/>
      <c r="H7" s="10"/>
      <c r="I7" s="29"/>
      <c r="J7" s="10"/>
      <c r="K7" s="163"/>
      <c r="L7" s="10"/>
      <c r="M7" s="29"/>
      <c r="N7" s="10"/>
      <c r="O7" s="163"/>
      <c r="P7" s="10"/>
      <c r="Q7" s="29"/>
      <c r="R7" s="10"/>
      <c r="S7" s="163"/>
      <c r="T7" s="10"/>
      <c r="U7" s="29"/>
      <c r="V7" s="10"/>
      <c r="W7" s="163"/>
      <c r="X7" s="10"/>
      <c r="Y7" s="29"/>
      <c r="Z7" s="10"/>
      <c r="AA7" s="163"/>
      <c r="AB7" s="10"/>
      <c r="AC7" s="27"/>
      <c r="AD7" s="10"/>
      <c r="AE7" s="163"/>
      <c r="AF7" s="10"/>
      <c r="AG7" s="27"/>
      <c r="AH7" s="169"/>
      <c r="AI7" s="163"/>
      <c r="AJ7" s="10"/>
      <c r="AK7" s="27"/>
      <c r="AL7" s="169"/>
      <c r="AM7" s="163"/>
      <c r="AN7" s="169"/>
      <c r="AO7" s="27"/>
      <c r="AP7" s="169"/>
      <c r="AQ7" s="163"/>
      <c r="AR7" s="26"/>
      <c r="AS7" s="27"/>
      <c r="AT7" s="26"/>
      <c r="AU7" s="86"/>
      <c r="AV7" s="8"/>
      <c r="AW7" s="27"/>
      <c r="AX7" s="8"/>
      <c r="AY7" s="86"/>
      <c r="AZ7" s="8"/>
      <c r="BA7" s="27"/>
      <c r="BB7" s="8"/>
      <c r="BC7" s="27"/>
    </row>
    <row r="8" spans="1:64" ht="27.9" customHeight="1">
      <c r="A8" s="7" t="s">
        <v>33</v>
      </c>
      <c r="B8" s="30">
        <v>186386961.97999999</v>
      </c>
      <c r="C8" s="163">
        <v>186983762.05000004</v>
      </c>
      <c r="D8" s="30">
        <v>187866941.14000002</v>
      </c>
      <c r="E8" s="29">
        <v>176136654.30000001</v>
      </c>
      <c r="F8" s="30">
        <v>176982592.02000001</v>
      </c>
      <c r="G8" s="163">
        <v>178195675.75</v>
      </c>
      <c r="H8" s="30">
        <v>178365234.44000006</v>
      </c>
      <c r="I8" s="29">
        <v>176326006.49000004</v>
      </c>
      <c r="J8" s="30">
        <v>175791158.00999999</v>
      </c>
      <c r="K8" s="163">
        <v>175766600.86000001</v>
      </c>
      <c r="L8" s="30">
        <v>176310591.47</v>
      </c>
      <c r="M8" s="29">
        <v>175322956.56</v>
      </c>
      <c r="N8" s="30">
        <v>173409557.06</v>
      </c>
      <c r="O8" s="163">
        <v>171156166.11000001</v>
      </c>
      <c r="P8" s="30">
        <v>169772925.58000001</v>
      </c>
      <c r="Q8" s="29">
        <v>170191283.66999999</v>
      </c>
      <c r="R8" s="30">
        <v>171102997.86000001</v>
      </c>
      <c r="S8" s="163">
        <v>170903017.33000001</v>
      </c>
      <c r="T8" s="30">
        <v>170890296.25999999</v>
      </c>
      <c r="U8" s="29">
        <v>170025314.34999999</v>
      </c>
      <c r="V8" s="30">
        <v>171548447.02000001</v>
      </c>
      <c r="W8" s="163">
        <v>171841687.24000001</v>
      </c>
      <c r="X8" s="30">
        <v>170309774.28999999</v>
      </c>
      <c r="Y8" s="29">
        <v>168244074.47999999</v>
      </c>
      <c r="Z8" s="30">
        <v>169664129.25</v>
      </c>
      <c r="AA8" s="163">
        <v>171576898.02000001</v>
      </c>
      <c r="AB8" s="30">
        <v>171523436.49000001</v>
      </c>
      <c r="AC8" s="29">
        <v>172601645.61000001</v>
      </c>
      <c r="AD8" s="30">
        <v>172271828.13</v>
      </c>
      <c r="AE8" s="163">
        <v>168890317.78999999</v>
      </c>
      <c r="AF8" s="30">
        <v>169273535.61000001</v>
      </c>
      <c r="AG8" s="29">
        <v>163826359.47999999</v>
      </c>
      <c r="AH8" s="30">
        <v>160163140.69000003</v>
      </c>
      <c r="AI8" s="163">
        <v>157893004.09</v>
      </c>
      <c r="AJ8" s="30">
        <v>158528479.25999996</v>
      </c>
      <c r="AK8" s="29">
        <v>156870266.79000002</v>
      </c>
      <c r="AL8" s="30">
        <v>156256306.00999999</v>
      </c>
      <c r="AM8" s="163">
        <v>155420105.38</v>
      </c>
      <c r="AN8" s="30">
        <v>153800584.31999999</v>
      </c>
      <c r="AO8" s="29">
        <v>149014671.06</v>
      </c>
      <c r="AP8" s="30">
        <v>139243073.91</v>
      </c>
      <c r="AQ8" s="163">
        <v>137753609.53</v>
      </c>
      <c r="AR8" s="123">
        <v>133933574.84</v>
      </c>
      <c r="AS8" s="29">
        <v>143364288.49000001</v>
      </c>
      <c r="AT8" s="28">
        <v>140165826.33000001</v>
      </c>
      <c r="AU8" s="55">
        <v>136925083.25999999</v>
      </c>
      <c r="AV8" s="30">
        <v>125266971.28</v>
      </c>
      <c r="AW8" s="29">
        <v>124619684.79000001</v>
      </c>
      <c r="AX8" s="30">
        <v>124980236.79000001</v>
      </c>
      <c r="AY8" s="55">
        <v>123978998.15000001</v>
      </c>
      <c r="AZ8" s="30">
        <v>125634765.62</v>
      </c>
      <c r="BA8" s="29">
        <v>126316462.09999999</v>
      </c>
      <c r="BB8" s="30">
        <v>126697322.52</v>
      </c>
      <c r="BC8" s="29">
        <v>128801959.56999999</v>
      </c>
    </row>
    <row r="9" spans="1:64" ht="27.9" customHeight="1">
      <c r="A9" s="7" t="s">
        <v>34</v>
      </c>
      <c r="B9" s="30">
        <v>62474955.390000001</v>
      </c>
      <c r="C9" s="163">
        <v>62376823.199999996</v>
      </c>
      <c r="D9" s="30">
        <v>62499705.279999994</v>
      </c>
      <c r="E9" s="29">
        <v>62837720.990000002</v>
      </c>
      <c r="F9" s="30">
        <v>63039772.479999997</v>
      </c>
      <c r="G9" s="163">
        <v>62519483.210000001</v>
      </c>
      <c r="H9" s="30">
        <v>62163542.32</v>
      </c>
      <c r="I9" s="29">
        <v>61966079.04999999</v>
      </c>
      <c r="J9" s="30">
        <v>61931687.82</v>
      </c>
      <c r="K9" s="163">
        <v>61212253.700000003</v>
      </c>
      <c r="L9" s="30">
        <v>60499764.68</v>
      </c>
      <c r="M9" s="29">
        <v>58989883.469999999</v>
      </c>
      <c r="N9" s="30">
        <v>58494628.390000001</v>
      </c>
      <c r="O9" s="163">
        <v>59041676.649999999</v>
      </c>
      <c r="P9" s="30">
        <v>58774800.920000002</v>
      </c>
      <c r="Q9" s="29">
        <v>58651181.280000001</v>
      </c>
      <c r="R9" s="30">
        <v>58338755.140000001</v>
      </c>
      <c r="S9" s="163">
        <v>58529325.670000002</v>
      </c>
      <c r="T9" s="30">
        <v>58350232.049999997</v>
      </c>
      <c r="U9" s="29">
        <v>58272649.549999997</v>
      </c>
      <c r="V9" s="30">
        <v>57920184.969999999</v>
      </c>
      <c r="W9" s="163">
        <v>58074434.700000003</v>
      </c>
      <c r="X9" s="30">
        <v>58007647.649999999</v>
      </c>
      <c r="Y9" s="29">
        <v>57539974.5</v>
      </c>
      <c r="Z9" s="30">
        <v>56051862.119999997</v>
      </c>
      <c r="AA9" s="163">
        <v>55826617.119999997</v>
      </c>
      <c r="AB9" s="30">
        <v>55806749.899999984</v>
      </c>
      <c r="AC9" s="29">
        <v>55330486.380000003</v>
      </c>
      <c r="AD9" s="30">
        <v>55387870.379999988</v>
      </c>
      <c r="AE9" s="163">
        <v>55256362.329999991</v>
      </c>
      <c r="AF9" s="30">
        <v>54985764.389999978</v>
      </c>
      <c r="AG9" s="29">
        <v>54788117.82</v>
      </c>
      <c r="AH9" s="30">
        <v>54748111.54999999</v>
      </c>
      <c r="AI9" s="163">
        <v>54383262.860000007</v>
      </c>
      <c r="AJ9" s="30">
        <v>54446597.589999996</v>
      </c>
      <c r="AK9" s="29">
        <v>54393677.82</v>
      </c>
      <c r="AL9" s="30">
        <v>54556923.969999999</v>
      </c>
      <c r="AM9" s="163">
        <v>54806171.530000001</v>
      </c>
      <c r="AN9" s="30">
        <v>54503722.5</v>
      </c>
      <c r="AO9" s="29">
        <v>54239051.950000003</v>
      </c>
      <c r="AP9" s="30">
        <v>54359004.5</v>
      </c>
      <c r="AQ9" s="163">
        <v>54367733.799999997</v>
      </c>
      <c r="AR9" s="123">
        <v>54399904.539999999</v>
      </c>
      <c r="AS9" s="29">
        <v>54037181.630000003</v>
      </c>
      <c r="AT9" s="28">
        <v>53480599.789999999</v>
      </c>
      <c r="AU9" s="55">
        <v>49573340.979999997</v>
      </c>
      <c r="AV9" s="30">
        <v>51934228.649999999</v>
      </c>
      <c r="AW9" s="29">
        <v>51667600.439999998</v>
      </c>
      <c r="AX9" s="30">
        <v>51213866.57</v>
      </c>
      <c r="AY9" s="55">
        <v>50791329.32</v>
      </c>
      <c r="AZ9" s="30">
        <v>50857929.409999996</v>
      </c>
      <c r="BA9" s="29">
        <v>49985832.909999996</v>
      </c>
      <c r="BB9" s="30">
        <v>49696442.350000001</v>
      </c>
      <c r="BC9" s="29">
        <v>48332786.600000001</v>
      </c>
    </row>
    <row r="10" spans="1:64" ht="27.9" customHeight="1">
      <c r="A10" s="7" t="s">
        <v>35</v>
      </c>
      <c r="B10" s="30">
        <v>2904214.32</v>
      </c>
      <c r="C10" s="163">
        <v>2790949.73</v>
      </c>
      <c r="D10" s="30">
        <v>2635351.25</v>
      </c>
      <c r="E10" s="29">
        <v>4993306.7300000004</v>
      </c>
      <c r="F10" s="30">
        <v>5783443.1100000003</v>
      </c>
      <c r="G10" s="163">
        <v>6023868.8799999999</v>
      </c>
      <c r="H10" s="30">
        <v>5992402.3999999994</v>
      </c>
      <c r="I10" s="29">
        <v>5001767.9800000004</v>
      </c>
      <c r="J10" s="30">
        <v>66797.259999999995</v>
      </c>
      <c r="K10" s="163">
        <v>69723.34</v>
      </c>
      <c r="L10" s="30">
        <v>69723.34</v>
      </c>
      <c r="M10" s="29">
        <v>69723.34</v>
      </c>
      <c r="N10" s="30">
        <v>69723.34</v>
      </c>
      <c r="O10" s="163">
        <v>71186.03</v>
      </c>
      <c r="P10" s="30">
        <v>71186.03</v>
      </c>
      <c r="Q10" s="29">
        <v>654313.96</v>
      </c>
      <c r="R10" s="30">
        <v>1669106.95</v>
      </c>
      <c r="S10" s="163">
        <v>2685362.63</v>
      </c>
      <c r="T10" s="30">
        <v>3700155.62</v>
      </c>
      <c r="U10" s="29">
        <v>4728256.24</v>
      </c>
      <c r="V10" s="30">
        <v>5742079.2999999998</v>
      </c>
      <c r="W10" s="163">
        <v>6787388.6399999997</v>
      </c>
      <c r="X10" s="30">
        <v>7801766.7000000002</v>
      </c>
      <c r="Y10" s="29">
        <v>113417.91</v>
      </c>
      <c r="Z10" s="30">
        <v>112447.98</v>
      </c>
      <c r="AA10" s="163">
        <v>124299.77</v>
      </c>
      <c r="AB10" s="30">
        <v>147079.63999999998</v>
      </c>
      <c r="AC10" s="29">
        <v>110570.47</v>
      </c>
      <c r="AD10" s="30">
        <v>107816.15999999999</v>
      </c>
      <c r="AE10" s="163">
        <v>119168.05</v>
      </c>
      <c r="AF10" s="30">
        <v>72482.87999999999</v>
      </c>
      <c r="AG10" s="29">
        <v>80163.64</v>
      </c>
      <c r="AH10" s="30">
        <v>68100.039999999994</v>
      </c>
      <c r="AI10" s="163">
        <v>77285.88</v>
      </c>
      <c r="AJ10" s="30">
        <v>77285.88</v>
      </c>
      <c r="AK10" s="29">
        <v>81435.490000000005</v>
      </c>
      <c r="AL10" s="30">
        <v>81435.490000000005</v>
      </c>
      <c r="AM10" s="163">
        <v>99462.45</v>
      </c>
      <c r="AN10" s="30">
        <v>99462.45</v>
      </c>
      <c r="AO10" s="29">
        <v>64275.5</v>
      </c>
      <c r="AP10" s="30">
        <v>58879.69</v>
      </c>
      <c r="AQ10" s="163">
        <v>65613.88</v>
      </c>
      <c r="AR10" s="123">
        <v>65457.62</v>
      </c>
      <c r="AS10" s="29">
        <v>187919.09</v>
      </c>
      <c r="AT10" s="28">
        <v>110056.78</v>
      </c>
      <c r="AU10" s="55">
        <v>27779.68</v>
      </c>
      <c r="AV10" s="30">
        <v>27779.68</v>
      </c>
      <c r="AW10" s="29">
        <v>44239.42</v>
      </c>
      <c r="AX10" s="30">
        <v>40742.089999999997</v>
      </c>
      <c r="AY10" s="55">
        <v>41410.03</v>
      </c>
      <c r="AZ10" s="30">
        <v>38155.03</v>
      </c>
      <c r="BA10" s="29">
        <v>12577.63</v>
      </c>
      <c r="BB10" s="30">
        <v>15405.86</v>
      </c>
      <c r="BC10" s="29">
        <v>15405.86</v>
      </c>
    </row>
    <row r="11" spans="1:64" ht="27.9" customHeight="1">
      <c r="A11" s="7" t="s">
        <v>157</v>
      </c>
      <c r="B11" s="30">
        <v>559760.4</v>
      </c>
      <c r="C11" s="163">
        <v>581217.84</v>
      </c>
      <c r="D11" s="30">
        <v>641498.07999999996</v>
      </c>
      <c r="E11" s="29">
        <v>0</v>
      </c>
      <c r="F11" s="30">
        <v>0</v>
      </c>
      <c r="G11" s="163">
        <v>0</v>
      </c>
      <c r="H11" s="30">
        <v>0</v>
      </c>
      <c r="I11" s="29">
        <v>1382906.0699999998</v>
      </c>
      <c r="J11" s="30">
        <v>1353487.49</v>
      </c>
      <c r="K11" s="163">
        <v>619064.85</v>
      </c>
      <c r="L11" s="30">
        <v>637179.85</v>
      </c>
      <c r="M11" s="29">
        <v>623940.72</v>
      </c>
      <c r="N11" s="30">
        <v>598229.56000000006</v>
      </c>
      <c r="O11" s="163">
        <v>0</v>
      </c>
      <c r="P11" s="30">
        <v>0</v>
      </c>
      <c r="Q11" s="29">
        <v>0</v>
      </c>
      <c r="R11" s="30">
        <v>0</v>
      </c>
      <c r="S11" s="163">
        <v>0</v>
      </c>
      <c r="T11" s="30">
        <v>0</v>
      </c>
      <c r="U11" s="29">
        <v>721525.1</v>
      </c>
      <c r="V11" s="30">
        <v>721525.1</v>
      </c>
      <c r="W11" s="163">
        <v>711000</v>
      </c>
      <c r="X11" s="30">
        <v>0</v>
      </c>
      <c r="Y11" s="29">
        <v>574567.99</v>
      </c>
      <c r="Z11" s="30">
        <v>544017.99</v>
      </c>
      <c r="AA11" s="163">
        <v>500831.16</v>
      </c>
      <c r="AB11" s="30">
        <v>471931.15999999992</v>
      </c>
      <c r="AC11" s="29">
        <v>1828866.32</v>
      </c>
      <c r="AD11" s="30">
        <v>1106866.3200000008</v>
      </c>
      <c r="AE11" s="163">
        <v>361081.42999999988</v>
      </c>
      <c r="AF11" s="30">
        <v>336099.92999999941</v>
      </c>
      <c r="AG11" s="29">
        <v>299160.35000000009</v>
      </c>
      <c r="AH11" s="30">
        <v>456910.34999999986</v>
      </c>
      <c r="AI11" s="163">
        <v>246010.34999999998</v>
      </c>
      <c r="AJ11" s="30">
        <v>213410.34999999998</v>
      </c>
      <c r="AK11" s="29">
        <v>180199.08</v>
      </c>
      <c r="AL11" s="30">
        <v>149569.07999999999</v>
      </c>
      <c r="AM11" s="163">
        <v>124019.08</v>
      </c>
      <c r="AN11" s="30"/>
      <c r="AO11" s="29"/>
      <c r="AP11" s="30"/>
      <c r="AQ11" s="163"/>
      <c r="AR11" s="123"/>
      <c r="AS11" s="29"/>
      <c r="AT11" s="28"/>
      <c r="AU11" s="55"/>
      <c r="AV11" s="30"/>
      <c r="AW11" s="29"/>
      <c r="AX11" s="30"/>
      <c r="AY11" s="55"/>
      <c r="AZ11" s="30"/>
      <c r="BA11" s="29"/>
      <c r="BB11" s="30"/>
      <c r="BC11" s="29"/>
    </row>
    <row r="12" spans="1:64" ht="27.9" customHeight="1">
      <c r="A12" s="7" t="s">
        <v>61</v>
      </c>
      <c r="B12" s="30">
        <f>1642024.41</f>
        <v>1642024.41</v>
      </c>
      <c r="C12" s="164">
        <v>1642024.41</v>
      </c>
      <c r="D12" s="30">
        <v>1642024.41</v>
      </c>
      <c r="E12" s="488">
        <v>1642024.41</v>
      </c>
      <c r="F12" s="30">
        <v>1642024.41</v>
      </c>
      <c r="G12" s="164">
        <v>1642024.41</v>
      </c>
      <c r="H12" s="30">
        <v>1642024.41</v>
      </c>
      <c r="I12" s="488">
        <v>1642024.41</v>
      </c>
      <c r="J12" s="30">
        <v>1642024.41</v>
      </c>
      <c r="K12" s="164">
        <v>1642024.41</v>
      </c>
      <c r="L12" s="30">
        <v>1642024.41</v>
      </c>
      <c r="M12" s="488">
        <v>1642024.41</v>
      </c>
      <c r="N12" s="30">
        <v>1642024.41</v>
      </c>
      <c r="O12" s="164">
        <v>1642024.41</v>
      </c>
      <c r="P12" s="30">
        <v>1642024.41</v>
      </c>
      <c r="Q12" s="488">
        <v>1642024.41</v>
      </c>
      <c r="R12" s="30">
        <v>1642024.41</v>
      </c>
      <c r="S12" s="164">
        <v>5071830.41</v>
      </c>
      <c r="T12" s="30">
        <v>5071830.41</v>
      </c>
      <c r="U12" s="488">
        <v>5071830.41</v>
      </c>
      <c r="V12" s="30">
        <v>5071830.41</v>
      </c>
      <c r="W12" s="164">
        <v>5416628.3099999996</v>
      </c>
      <c r="X12" s="30">
        <v>10489881.699999999</v>
      </c>
      <c r="Y12" s="488">
        <v>11957281.699999999</v>
      </c>
      <c r="Z12" s="30">
        <v>11957281.699999999</v>
      </c>
      <c r="AA12" s="164">
        <v>11957281.699999999</v>
      </c>
      <c r="AB12" s="30">
        <v>11957281.699999999</v>
      </c>
      <c r="AC12" s="29">
        <v>11957281.699999999</v>
      </c>
      <c r="AD12" s="30">
        <v>11943121.699999999</v>
      </c>
      <c r="AE12" s="164">
        <v>11943121.699999999</v>
      </c>
      <c r="AF12" s="30">
        <v>9970459.3900000006</v>
      </c>
      <c r="AG12" s="29">
        <v>9864557.0800000001</v>
      </c>
      <c r="AH12" s="30">
        <v>9864557.0800000001</v>
      </c>
      <c r="AI12" s="164">
        <v>10125557.08</v>
      </c>
      <c r="AJ12" s="30">
        <v>10125557.08</v>
      </c>
      <c r="AK12" s="29">
        <v>10125557.08</v>
      </c>
      <c r="AL12" s="30">
        <v>10125557.08</v>
      </c>
      <c r="AM12" s="163">
        <v>10125557.08</v>
      </c>
      <c r="AN12" s="30">
        <v>10125557.08</v>
      </c>
      <c r="AO12" s="29">
        <v>7752716.5800000001</v>
      </c>
      <c r="AP12" s="30">
        <v>7752716.5800000001</v>
      </c>
      <c r="AQ12" s="163">
        <v>7304716.5800000001</v>
      </c>
      <c r="AR12" s="123">
        <v>7304716.5800000001</v>
      </c>
      <c r="AS12" s="29">
        <v>4630400</v>
      </c>
      <c r="AT12" s="28">
        <v>4630400</v>
      </c>
      <c r="AU12" s="55">
        <v>4733000</v>
      </c>
      <c r="AV12" s="30">
        <v>4733000</v>
      </c>
      <c r="AW12" s="29">
        <v>4733000</v>
      </c>
      <c r="AX12" s="30">
        <v>4733000</v>
      </c>
      <c r="AY12" s="55">
        <v>4946000</v>
      </c>
      <c r="AZ12" s="30">
        <v>4946000</v>
      </c>
      <c r="BA12" s="29">
        <v>3376000</v>
      </c>
      <c r="BB12" s="30">
        <v>3376000</v>
      </c>
      <c r="BC12" s="29">
        <v>3376000</v>
      </c>
    </row>
    <row r="13" spans="1:64" ht="27.9" customHeight="1">
      <c r="A13" s="7" t="s">
        <v>36</v>
      </c>
      <c r="B13" s="30">
        <v>0</v>
      </c>
      <c r="C13" s="164">
        <v>0</v>
      </c>
      <c r="D13" s="30">
        <v>0</v>
      </c>
      <c r="E13" s="488">
        <v>0</v>
      </c>
      <c r="F13" s="30">
        <v>0</v>
      </c>
      <c r="G13" s="164">
        <v>0</v>
      </c>
      <c r="H13" s="30">
        <v>0</v>
      </c>
      <c r="I13" s="488">
        <v>0</v>
      </c>
      <c r="J13" s="30">
        <v>0</v>
      </c>
      <c r="K13" s="164">
        <v>0</v>
      </c>
      <c r="L13" s="30">
        <v>0</v>
      </c>
      <c r="M13" s="488">
        <v>0</v>
      </c>
      <c r="N13" s="30">
        <v>0</v>
      </c>
      <c r="O13" s="164">
        <v>0</v>
      </c>
      <c r="P13" s="30">
        <v>0</v>
      </c>
      <c r="Q13" s="488">
        <v>0</v>
      </c>
      <c r="R13" s="30">
        <v>0</v>
      </c>
      <c r="S13" s="164">
        <v>0</v>
      </c>
      <c r="T13" s="30">
        <v>0</v>
      </c>
      <c r="U13" s="488">
        <v>0</v>
      </c>
      <c r="V13" s="30">
        <v>0</v>
      </c>
      <c r="W13" s="164">
        <v>0</v>
      </c>
      <c r="X13" s="30">
        <v>0</v>
      </c>
      <c r="Y13" s="488">
        <v>0</v>
      </c>
      <c r="Z13" s="30">
        <v>0</v>
      </c>
      <c r="AA13" s="164">
        <v>0</v>
      </c>
      <c r="AB13" s="34">
        <v>0</v>
      </c>
      <c r="AC13" s="29">
        <v>0</v>
      </c>
      <c r="AD13" s="30">
        <v>0</v>
      </c>
      <c r="AE13" s="164">
        <v>0</v>
      </c>
      <c r="AF13" s="30">
        <v>0</v>
      </c>
      <c r="AG13" s="29">
        <v>0</v>
      </c>
      <c r="AH13" s="30">
        <v>0</v>
      </c>
      <c r="AI13" s="164">
        <v>0</v>
      </c>
      <c r="AJ13" s="30">
        <v>0</v>
      </c>
      <c r="AK13" s="29">
        <v>0</v>
      </c>
      <c r="AL13" s="30">
        <v>0</v>
      </c>
      <c r="AM13" s="164">
        <v>0</v>
      </c>
      <c r="AN13" s="30">
        <v>0</v>
      </c>
      <c r="AO13" s="29">
        <v>0</v>
      </c>
      <c r="AP13" s="30">
        <v>0</v>
      </c>
      <c r="AQ13" s="164">
        <v>0</v>
      </c>
      <c r="AR13" s="123">
        <v>0</v>
      </c>
      <c r="AS13" s="29">
        <v>0</v>
      </c>
      <c r="AT13" s="28">
        <v>0</v>
      </c>
      <c r="AU13" s="55">
        <v>0</v>
      </c>
      <c r="AV13" s="30">
        <v>0</v>
      </c>
      <c r="AW13" s="29">
        <v>0</v>
      </c>
      <c r="AX13" s="30">
        <v>0</v>
      </c>
      <c r="AY13" s="55">
        <v>0</v>
      </c>
      <c r="AZ13" s="30">
        <v>0</v>
      </c>
      <c r="BA13" s="29">
        <v>0</v>
      </c>
      <c r="BB13" s="30">
        <v>0</v>
      </c>
      <c r="BC13" s="29">
        <v>0</v>
      </c>
    </row>
    <row r="14" spans="1:64" ht="27.9" customHeight="1">
      <c r="A14" s="7" t="s">
        <v>37</v>
      </c>
      <c r="B14" s="30">
        <v>381747.08</v>
      </c>
      <c r="C14" s="164">
        <v>380509.51130000007</v>
      </c>
      <c r="D14" s="30">
        <v>375033.86130000005</v>
      </c>
      <c r="E14" s="488">
        <v>380830.76</v>
      </c>
      <c r="F14" s="30">
        <v>371150.65</v>
      </c>
      <c r="G14" s="164">
        <v>360106.22</v>
      </c>
      <c r="H14" s="30">
        <v>373002.47130000003</v>
      </c>
      <c r="I14" s="488">
        <v>384574.09130000003</v>
      </c>
      <c r="J14" s="30">
        <v>390406.65</v>
      </c>
      <c r="K14" s="164">
        <v>396249.95</v>
      </c>
      <c r="L14" s="30">
        <v>402545.88</v>
      </c>
      <c r="M14" s="488">
        <v>405374.4</v>
      </c>
      <c r="N14" s="30">
        <v>416419.25</v>
      </c>
      <c r="O14" s="164">
        <v>432618.59</v>
      </c>
      <c r="P14" s="30">
        <v>446508.89</v>
      </c>
      <c r="Q14" s="488">
        <v>459463.61</v>
      </c>
      <c r="R14" s="30">
        <v>454180.33</v>
      </c>
      <c r="S14" s="164">
        <v>456713.69</v>
      </c>
      <c r="T14" s="30">
        <v>460938.17</v>
      </c>
      <c r="U14" s="488">
        <v>457468.66</v>
      </c>
      <c r="V14" s="30">
        <v>451629.32</v>
      </c>
      <c r="W14" s="164">
        <v>449193.39</v>
      </c>
      <c r="X14" s="30">
        <v>446371.92</v>
      </c>
      <c r="Y14" s="488">
        <v>478267.84</v>
      </c>
      <c r="Z14" s="30">
        <v>489488.18</v>
      </c>
      <c r="AA14" s="164">
        <v>865442.83</v>
      </c>
      <c r="AB14" s="30">
        <v>901100.20130000019</v>
      </c>
      <c r="AC14" s="29">
        <v>987847.55</v>
      </c>
      <c r="AD14" s="30">
        <v>1250281.1013000002</v>
      </c>
      <c r="AE14" s="164">
        <v>1255615.1613000003</v>
      </c>
      <c r="AF14" s="30">
        <v>1286479.8613000002</v>
      </c>
      <c r="AG14" s="29">
        <v>1093620.4213000003</v>
      </c>
      <c r="AH14" s="30">
        <v>1580406.6013000004</v>
      </c>
      <c r="AI14" s="164">
        <v>1560885.0081000004</v>
      </c>
      <c r="AJ14" s="30">
        <v>1403385.8913000003</v>
      </c>
      <c r="AK14" s="29">
        <v>1454902.53</v>
      </c>
      <c r="AL14" s="30">
        <v>1442433.32</v>
      </c>
      <c r="AM14" s="163">
        <v>1082879.19</v>
      </c>
      <c r="AN14" s="30">
        <v>1032296.72</v>
      </c>
      <c r="AO14" s="29">
        <v>995711</v>
      </c>
      <c r="AP14" s="30">
        <v>1022919.92</v>
      </c>
      <c r="AQ14" s="163">
        <v>912989.47</v>
      </c>
      <c r="AR14" s="123">
        <v>958974.73</v>
      </c>
      <c r="AS14" s="29">
        <v>1666398.53</v>
      </c>
      <c r="AT14" s="28">
        <v>931014.53</v>
      </c>
      <c r="AU14" s="55">
        <v>912865.84</v>
      </c>
      <c r="AV14" s="30">
        <v>910231.84</v>
      </c>
      <c r="AW14" s="29">
        <v>853393.82</v>
      </c>
      <c r="AX14" s="30">
        <v>853393.82</v>
      </c>
      <c r="AY14" s="55">
        <v>891597.38</v>
      </c>
      <c r="AZ14" s="30">
        <v>891597.38</v>
      </c>
      <c r="BA14" s="29">
        <v>922340.7</v>
      </c>
      <c r="BB14" s="30">
        <v>922340.7</v>
      </c>
      <c r="BC14" s="29">
        <v>955193.16</v>
      </c>
    </row>
    <row r="15" spans="1:64" ht="27.9" customHeight="1">
      <c r="A15" s="7" t="s">
        <v>158</v>
      </c>
      <c r="B15" s="30">
        <v>0</v>
      </c>
      <c r="C15" s="164">
        <v>0</v>
      </c>
      <c r="D15" s="30"/>
      <c r="E15" s="488">
        <v>0</v>
      </c>
      <c r="F15" s="30">
        <v>0</v>
      </c>
      <c r="G15" s="164">
        <v>0</v>
      </c>
      <c r="H15" s="30"/>
      <c r="I15" s="488">
        <v>0</v>
      </c>
      <c r="J15" s="30">
        <v>0</v>
      </c>
      <c r="K15" s="164">
        <v>0</v>
      </c>
      <c r="L15" s="30">
        <v>0</v>
      </c>
      <c r="M15" s="488">
        <v>0</v>
      </c>
      <c r="N15" s="30">
        <v>0</v>
      </c>
      <c r="O15" s="164">
        <v>0</v>
      </c>
      <c r="P15" s="30">
        <v>0</v>
      </c>
      <c r="Q15" s="488">
        <v>0</v>
      </c>
      <c r="R15" s="30">
        <v>0</v>
      </c>
      <c r="S15" s="164">
        <v>0</v>
      </c>
      <c r="T15" s="30">
        <v>0</v>
      </c>
      <c r="U15" s="488">
        <v>0</v>
      </c>
      <c r="V15" s="30">
        <v>0</v>
      </c>
      <c r="W15" s="164">
        <v>0</v>
      </c>
      <c r="X15" s="30">
        <v>0</v>
      </c>
      <c r="Y15" s="488">
        <v>0</v>
      </c>
      <c r="Z15" s="30">
        <v>0</v>
      </c>
      <c r="AA15" s="164">
        <v>0</v>
      </c>
      <c r="AB15" s="34">
        <v>0</v>
      </c>
      <c r="AC15" s="29">
        <v>0</v>
      </c>
      <c r="AD15" s="30">
        <v>0</v>
      </c>
      <c r="AE15" s="164">
        <v>0</v>
      </c>
      <c r="AF15" s="30">
        <v>0</v>
      </c>
      <c r="AG15" s="29">
        <v>0</v>
      </c>
      <c r="AH15" s="30">
        <v>0</v>
      </c>
      <c r="AI15" s="164">
        <v>0</v>
      </c>
      <c r="AJ15" s="30">
        <v>0</v>
      </c>
      <c r="AK15" s="29">
        <v>0</v>
      </c>
      <c r="AL15" s="30">
        <v>0</v>
      </c>
      <c r="AM15" s="164">
        <v>0</v>
      </c>
      <c r="AN15" s="30">
        <v>0</v>
      </c>
      <c r="AO15" s="29">
        <v>0</v>
      </c>
      <c r="AP15" s="30">
        <v>0</v>
      </c>
      <c r="AQ15" s="164">
        <v>0</v>
      </c>
      <c r="AR15" s="123">
        <v>0</v>
      </c>
      <c r="AS15" s="29"/>
      <c r="AT15" s="28"/>
      <c r="AU15" s="55">
        <v>0</v>
      </c>
      <c r="AV15" s="30">
        <v>0</v>
      </c>
      <c r="AW15" s="29"/>
      <c r="AX15" s="30"/>
      <c r="AY15" s="55"/>
      <c r="AZ15" s="30">
        <v>0</v>
      </c>
      <c r="BA15" s="29"/>
      <c r="BB15" s="30"/>
      <c r="BC15" s="29">
        <v>0</v>
      </c>
    </row>
    <row r="16" spans="1:64" ht="27.9" customHeight="1">
      <c r="A16" s="7" t="s">
        <v>210</v>
      </c>
      <c r="B16" s="30">
        <v>1484266.64</v>
      </c>
      <c r="C16" s="164">
        <v>1414517.44</v>
      </c>
      <c r="D16" s="30">
        <v>1445938.1</v>
      </c>
      <c r="E16" s="488">
        <v>1359207.98</v>
      </c>
      <c r="F16" s="30">
        <v>1339808.1200000001</v>
      </c>
      <c r="G16" s="164">
        <v>1403868.76</v>
      </c>
      <c r="H16" s="30">
        <v>1534228.6</v>
      </c>
      <c r="I16" s="488">
        <v>1399115.64</v>
      </c>
      <c r="J16" s="30">
        <v>1477819.08</v>
      </c>
      <c r="K16" s="164">
        <v>1549906.4</v>
      </c>
      <c r="L16" s="30">
        <v>1559589.08</v>
      </c>
      <c r="M16" s="488">
        <v>1430816.24</v>
      </c>
      <c r="N16" s="30">
        <v>1549944.84</v>
      </c>
      <c r="O16" s="164">
        <v>1582994.88</v>
      </c>
      <c r="P16" s="30">
        <v>1839268</v>
      </c>
      <c r="Q16" s="488">
        <v>1863118.36</v>
      </c>
      <c r="R16" s="30">
        <v>2079526.2</v>
      </c>
      <c r="S16" s="164">
        <v>2056734</v>
      </c>
      <c r="T16" s="30">
        <v>2157846.2000000002</v>
      </c>
      <c r="U16" s="488">
        <v>1675413.56</v>
      </c>
      <c r="V16" s="30">
        <v>1967305</v>
      </c>
      <c r="W16" s="164">
        <v>1452339.68</v>
      </c>
      <c r="X16" s="30">
        <v>1448402.56</v>
      </c>
      <c r="Y16" s="488">
        <v>1346086.88</v>
      </c>
      <c r="Z16" s="30">
        <v>1409700.4</v>
      </c>
      <c r="AA16" s="164">
        <v>1371611.24</v>
      </c>
      <c r="AB16" s="30">
        <v>1434961.2</v>
      </c>
      <c r="AC16" s="29">
        <v>1410427.72</v>
      </c>
      <c r="AD16" s="30">
        <v>1521408.08</v>
      </c>
      <c r="AE16" s="164">
        <v>1425796.64</v>
      </c>
      <c r="AF16" s="30">
        <v>1524366.04</v>
      </c>
      <c r="AG16" s="29">
        <v>1585573.6</v>
      </c>
      <c r="AH16" s="30">
        <v>2071714</v>
      </c>
      <c r="AI16" s="163">
        <v>3672200</v>
      </c>
      <c r="AJ16" s="30">
        <v>3459173</v>
      </c>
      <c r="AK16" s="29">
        <v>3133715</v>
      </c>
      <c r="AL16" s="30">
        <v>3046259</v>
      </c>
      <c r="AM16" s="163">
        <v>3079355</v>
      </c>
      <c r="AN16" s="30">
        <v>2963717</v>
      </c>
      <c r="AO16" s="29">
        <v>2980100</v>
      </c>
      <c r="AP16" s="30">
        <v>2630963</v>
      </c>
      <c r="AQ16" s="163">
        <v>3039323</v>
      </c>
      <c r="AR16" s="123">
        <v>3677895</v>
      </c>
      <c r="AS16" s="29">
        <v>4697668.4000000004</v>
      </c>
      <c r="AT16" s="28">
        <v>5918186.1299999999</v>
      </c>
      <c r="AU16" s="55">
        <v>5466797.6200000001</v>
      </c>
      <c r="AV16" s="30">
        <v>6517966.2400000002</v>
      </c>
      <c r="AW16" s="29">
        <v>10051902.119999999</v>
      </c>
      <c r="AX16" s="30">
        <v>8126192.7999999998</v>
      </c>
      <c r="AY16" s="55">
        <v>7432043.2000000002</v>
      </c>
      <c r="AZ16" s="30">
        <v>7876201</v>
      </c>
      <c r="BA16" s="29">
        <v>6481967.25</v>
      </c>
      <c r="BB16" s="30">
        <v>6274015.75</v>
      </c>
      <c r="BC16" s="29">
        <v>6491483</v>
      </c>
    </row>
    <row r="17" spans="1:55" ht="27.9" customHeight="1">
      <c r="A17" s="10" t="s">
        <v>38</v>
      </c>
      <c r="B17" s="169">
        <f t="shared" ref="B17" si="0">SUM(B8:B16)</f>
        <v>255833930.22</v>
      </c>
      <c r="C17" s="165">
        <f>SUM(C8:C16)</f>
        <v>256169804.18130001</v>
      </c>
      <c r="D17" s="169">
        <f t="shared" ref="D17" si="1">SUM(D8:D16)</f>
        <v>257106492.12130001</v>
      </c>
      <c r="E17" s="32">
        <f t="shared" ref="E17" si="2">SUM(E8:E16)</f>
        <v>247349745.16999999</v>
      </c>
      <c r="F17" s="169">
        <f t="shared" ref="F17" si="3">SUM(F8:F16)</f>
        <v>249158790.79000002</v>
      </c>
      <c r="G17" s="165">
        <f t="shared" ref="G17" si="4">SUM(G8:G16)</f>
        <v>250145027.22999999</v>
      </c>
      <c r="H17" s="169">
        <f t="shared" ref="H17" si="5">SUM(H8:H16)</f>
        <v>250070434.64130005</v>
      </c>
      <c r="I17" s="32">
        <f t="shared" ref="I17" si="6">SUM(I8:I16)</f>
        <v>248102473.7313</v>
      </c>
      <c r="J17" s="169">
        <f t="shared" ref="J17" si="7">SUM(J8:J16)</f>
        <v>242653380.72</v>
      </c>
      <c r="K17" s="165">
        <f t="shared" ref="K17" si="8">SUM(K8:K16)</f>
        <v>241255823.50999999</v>
      </c>
      <c r="L17" s="169">
        <f t="shared" ref="L17" si="9">SUM(L8:L16)</f>
        <v>241121418.71000001</v>
      </c>
      <c r="M17" s="32">
        <f t="shared" ref="M17" si="10">SUM(M8:M16)</f>
        <v>238484719.14000002</v>
      </c>
      <c r="N17" s="169">
        <f t="shared" ref="N17" si="11">SUM(N8:N16)</f>
        <v>236180526.84999999</v>
      </c>
      <c r="O17" s="165">
        <f t="shared" ref="O17" si="12">SUM(O8:O16)</f>
        <v>233926666.67000002</v>
      </c>
      <c r="P17" s="169">
        <f t="shared" ref="P17" si="13">SUM(P8:P16)</f>
        <v>232546713.82999998</v>
      </c>
      <c r="Q17" s="32">
        <f t="shared" ref="Q17" si="14">SUM(Q8:Q16)</f>
        <v>233461385.29000002</v>
      </c>
      <c r="R17" s="169">
        <f t="shared" ref="R17" si="15">SUM(R8:R16)</f>
        <v>235286590.88999999</v>
      </c>
      <c r="S17" s="165">
        <f t="shared" ref="S17" si="16">SUM(S8:S16)</f>
        <v>239702983.72999999</v>
      </c>
      <c r="T17" s="169">
        <f t="shared" ref="T17:U17" si="17">SUM(T8:T16)</f>
        <v>240631298.70999998</v>
      </c>
      <c r="U17" s="32">
        <f t="shared" si="17"/>
        <v>240952457.86999997</v>
      </c>
      <c r="V17" s="169">
        <f t="shared" ref="V17:W17" si="18">SUM(V8:V16)</f>
        <v>243423001.12</v>
      </c>
      <c r="W17" s="165">
        <f t="shared" si="18"/>
        <v>244732671.95999998</v>
      </c>
      <c r="X17" s="169">
        <f>SUM(X8:X16)</f>
        <v>248503844.81999996</v>
      </c>
      <c r="Y17" s="32">
        <f t="shared" ref="Y17:AA17" si="19">SUM(Y8:Y16)</f>
        <v>240253671.29999998</v>
      </c>
      <c r="Z17" s="169">
        <f>SUM(Z8:Z16)</f>
        <v>240228927.62</v>
      </c>
      <c r="AA17" s="165">
        <f t="shared" si="19"/>
        <v>242222981.84000003</v>
      </c>
      <c r="AB17" s="169">
        <f>SUM(AB8:AB16)</f>
        <v>242242540.29129994</v>
      </c>
      <c r="AC17" s="32">
        <f t="shared" ref="AC17:AE17" si="20">SUM(AC8:AC16)</f>
        <v>244227125.75</v>
      </c>
      <c r="AD17" s="169">
        <f t="shared" si="20"/>
        <v>243589191.87129998</v>
      </c>
      <c r="AE17" s="165">
        <f t="shared" si="20"/>
        <v>239251463.10129997</v>
      </c>
      <c r="AF17" s="169">
        <f t="shared" ref="AF17" si="21">SUM(AF8:AF16)</f>
        <v>237449188.10129997</v>
      </c>
      <c r="AG17" s="32">
        <f t="shared" ref="AG17" si="22">SUM(AG8:AG16)</f>
        <v>231537552.39129996</v>
      </c>
      <c r="AH17" s="169">
        <f t="shared" ref="AH17" si="23">SUM(AH8:AH16)</f>
        <v>228952940.31130001</v>
      </c>
      <c r="AI17" s="165">
        <f t="shared" ref="AI17" si="24">SUM(AI8:AI16)</f>
        <v>227958205.26810002</v>
      </c>
      <c r="AJ17" s="169">
        <f t="shared" ref="AJ17:AO17" si="25">SUM(AJ8:AJ16)</f>
        <v>228253889.05129996</v>
      </c>
      <c r="AK17" s="32">
        <f t="shared" si="25"/>
        <v>226239753.79000005</v>
      </c>
      <c r="AL17" s="169">
        <f t="shared" si="25"/>
        <v>225658483.95000002</v>
      </c>
      <c r="AM17" s="165">
        <f t="shared" si="25"/>
        <v>224737549.71000001</v>
      </c>
      <c r="AN17" s="33">
        <f t="shared" si="25"/>
        <v>222525340.06999999</v>
      </c>
      <c r="AO17" s="32">
        <f t="shared" si="25"/>
        <v>215046526.09</v>
      </c>
      <c r="AP17" s="169">
        <v>205067557.59999999</v>
      </c>
      <c r="AQ17" s="165">
        <v>203443986.25999999</v>
      </c>
      <c r="AR17" s="124">
        <v>200340523.31</v>
      </c>
      <c r="AS17" s="32">
        <v>208583856.13999999</v>
      </c>
      <c r="AT17" s="31">
        <v>205236083.56</v>
      </c>
      <c r="AU17" s="56">
        <v>197638867.38</v>
      </c>
      <c r="AV17" s="33">
        <v>189390177.69</v>
      </c>
      <c r="AW17" s="32">
        <v>191969820.59</v>
      </c>
      <c r="AX17" s="33">
        <v>189947432.06999999</v>
      </c>
      <c r="AY17" s="56">
        <v>188081378.08000001</v>
      </c>
      <c r="AZ17" s="33">
        <v>190244648.44</v>
      </c>
      <c r="BA17" s="32">
        <v>187095180.59</v>
      </c>
      <c r="BB17" s="33">
        <v>186981527.18000001</v>
      </c>
      <c r="BC17" s="32">
        <v>187972828.19</v>
      </c>
    </row>
    <row r="18" spans="1:55" ht="27.9" customHeight="1">
      <c r="A18" s="10" t="s">
        <v>10</v>
      </c>
      <c r="B18" s="169"/>
      <c r="C18" s="163"/>
      <c r="D18" s="169"/>
      <c r="E18" s="29"/>
      <c r="F18" s="169"/>
      <c r="G18" s="163"/>
      <c r="H18" s="169"/>
      <c r="I18" s="29"/>
      <c r="J18" s="169"/>
      <c r="K18" s="163"/>
      <c r="L18" s="169"/>
      <c r="M18" s="29"/>
      <c r="N18" s="169"/>
      <c r="O18" s="163"/>
      <c r="P18" s="169"/>
      <c r="Q18" s="29"/>
      <c r="R18" s="169"/>
      <c r="S18" s="163"/>
      <c r="T18" s="169"/>
      <c r="U18" s="29"/>
      <c r="V18" s="169"/>
      <c r="W18" s="163"/>
      <c r="X18" s="169"/>
      <c r="Y18" s="29"/>
      <c r="Z18" s="169"/>
      <c r="AA18" s="163"/>
      <c r="AB18" s="169"/>
      <c r="AC18" s="29"/>
      <c r="AD18" s="169"/>
      <c r="AE18" s="163"/>
      <c r="AF18" s="169"/>
      <c r="AG18" s="29"/>
      <c r="AH18" s="169"/>
      <c r="AI18" s="163"/>
      <c r="AJ18" s="169"/>
      <c r="AK18" s="29"/>
      <c r="AL18" s="169"/>
      <c r="AM18" s="163"/>
      <c r="AN18" s="30"/>
      <c r="AO18" s="29"/>
      <c r="AP18" s="169"/>
      <c r="AQ18" s="163"/>
      <c r="AR18" s="120"/>
      <c r="AS18" s="29"/>
      <c r="AT18" s="34"/>
      <c r="AU18" s="87"/>
      <c r="AV18" s="34"/>
      <c r="AW18" s="29"/>
      <c r="AX18" s="30"/>
      <c r="AY18" s="55"/>
      <c r="AZ18" s="30"/>
      <c r="BA18" s="35"/>
      <c r="BB18" s="34"/>
      <c r="BC18" s="35"/>
    </row>
    <row r="19" spans="1:55" ht="27.9" customHeight="1">
      <c r="A19" s="7" t="s">
        <v>39</v>
      </c>
      <c r="B19" s="30">
        <v>105460707.31</v>
      </c>
      <c r="C19" s="163">
        <v>131690460.35645083</v>
      </c>
      <c r="D19" s="30">
        <v>113024457.4373838</v>
      </c>
      <c r="E19" s="29">
        <v>114969093.38</v>
      </c>
      <c r="F19" s="30">
        <v>116960627.29000001</v>
      </c>
      <c r="G19" s="163">
        <v>112019107.91</v>
      </c>
      <c r="H19" s="30">
        <v>103571223.91477172</v>
      </c>
      <c r="I19" s="29">
        <v>106239377.81921411</v>
      </c>
      <c r="J19" s="30">
        <v>86280192.900000006</v>
      </c>
      <c r="K19" s="163">
        <v>88111294.099999994</v>
      </c>
      <c r="L19" s="30">
        <v>91952120.650000006</v>
      </c>
      <c r="M19" s="29">
        <v>96540876.239999995</v>
      </c>
      <c r="N19" s="30">
        <v>88330943.959999993</v>
      </c>
      <c r="O19" s="163">
        <v>96818922.719999999</v>
      </c>
      <c r="P19" s="30">
        <v>91585151.319999993</v>
      </c>
      <c r="Q19" s="29">
        <v>79085008.040000007</v>
      </c>
      <c r="R19" s="30">
        <v>70801618.640000001</v>
      </c>
      <c r="S19" s="163">
        <v>70947094.920000002</v>
      </c>
      <c r="T19" s="30">
        <v>72710905.420000002</v>
      </c>
      <c r="U19" s="29">
        <v>61174511.270000003</v>
      </c>
      <c r="V19" s="30">
        <v>64108078.880000003</v>
      </c>
      <c r="W19" s="163">
        <v>71451198.090000004</v>
      </c>
      <c r="X19" s="30">
        <v>71030249.099999994</v>
      </c>
      <c r="Y19" s="29">
        <v>61620863.229999997</v>
      </c>
      <c r="Z19" s="30">
        <v>54639091.039999999</v>
      </c>
      <c r="AA19" s="163">
        <v>61503345.890000001</v>
      </c>
      <c r="AB19" s="30">
        <v>64293940.064475775</v>
      </c>
      <c r="AC19" s="29">
        <v>63760042.390000001</v>
      </c>
      <c r="AD19" s="30">
        <v>68065219.146799833</v>
      </c>
      <c r="AE19" s="163">
        <v>76088349.158361435</v>
      </c>
      <c r="AF19" s="30">
        <v>78868179.907875672</v>
      </c>
      <c r="AG19" s="29">
        <v>73296335.29981117</v>
      </c>
      <c r="AH19" s="30">
        <v>71764132.555507645</v>
      </c>
      <c r="AI19" s="163">
        <v>70009390.607046694</v>
      </c>
      <c r="AJ19" s="30">
        <v>66185737.189268723</v>
      </c>
      <c r="AK19" s="29">
        <v>71009881.423706979</v>
      </c>
      <c r="AL19" s="30">
        <v>65200834.240000002</v>
      </c>
      <c r="AM19" s="163">
        <v>72276257.159999996</v>
      </c>
      <c r="AN19" s="30">
        <v>72085726.010000005</v>
      </c>
      <c r="AO19" s="29">
        <v>68563159.319999993</v>
      </c>
      <c r="AP19" s="30">
        <v>71081028.329999998</v>
      </c>
      <c r="AQ19" s="163">
        <v>82539154.379999995</v>
      </c>
      <c r="AR19" s="123">
        <v>73908849.629999995</v>
      </c>
      <c r="AS19" s="29">
        <v>67686933.959999993</v>
      </c>
      <c r="AT19" s="28">
        <v>63945872.32</v>
      </c>
      <c r="AU19" s="55">
        <v>68372715.760000005</v>
      </c>
      <c r="AV19" s="30">
        <v>67412524.549999997</v>
      </c>
      <c r="AW19" s="29">
        <v>56745423.280000001</v>
      </c>
      <c r="AX19" s="30">
        <v>54178383.390000001</v>
      </c>
      <c r="AY19" s="55">
        <v>65185925.850000001</v>
      </c>
      <c r="AZ19" s="30">
        <v>57215266.890000001</v>
      </c>
      <c r="BA19" s="29">
        <v>51191202.159999996</v>
      </c>
      <c r="BB19" s="30">
        <v>48867327.159999996</v>
      </c>
      <c r="BC19" s="29">
        <v>57672794.780000001</v>
      </c>
    </row>
    <row r="20" spans="1:55" ht="27.9" customHeight="1">
      <c r="A20" s="7" t="s">
        <v>40</v>
      </c>
      <c r="B20" s="30">
        <v>81440429.209999993</v>
      </c>
      <c r="C20" s="163">
        <v>96694653.446966007</v>
      </c>
      <c r="D20" s="30">
        <v>89395697.456803396</v>
      </c>
      <c r="E20" s="29">
        <v>100225553.59999999</v>
      </c>
      <c r="F20" s="30">
        <v>88541369.189999998</v>
      </c>
      <c r="G20" s="163">
        <v>117501280.47</v>
      </c>
      <c r="H20" s="30">
        <v>87543968.282550007</v>
      </c>
      <c r="I20" s="29">
        <v>77896221.537280992</v>
      </c>
      <c r="J20" s="30">
        <v>89054367.659999996</v>
      </c>
      <c r="K20" s="163">
        <v>95463592.569999993</v>
      </c>
      <c r="L20" s="30">
        <v>66678675.789999999</v>
      </c>
      <c r="M20" s="29">
        <v>83672069</v>
      </c>
      <c r="N20" s="30">
        <v>100241898.62</v>
      </c>
      <c r="O20" s="163">
        <v>113754087.59999999</v>
      </c>
      <c r="P20" s="30">
        <v>80670912.780000001</v>
      </c>
      <c r="Q20" s="29">
        <v>78457569.810000002</v>
      </c>
      <c r="R20" s="30">
        <v>84889807.920000002</v>
      </c>
      <c r="S20" s="163">
        <v>103888954.69</v>
      </c>
      <c r="T20" s="30">
        <v>80189349.209999993</v>
      </c>
      <c r="U20" s="29">
        <v>75796962.549999997</v>
      </c>
      <c r="V20" s="30">
        <v>90002349.370000005</v>
      </c>
      <c r="W20" s="163">
        <v>105614219.95999999</v>
      </c>
      <c r="X20" s="30">
        <v>75398037.769999996</v>
      </c>
      <c r="Y20" s="29">
        <v>82174678.439999998</v>
      </c>
      <c r="Z20" s="30">
        <v>100920293.14</v>
      </c>
      <c r="AA20" s="163">
        <v>88462623.870000005</v>
      </c>
      <c r="AB20" s="30">
        <v>72506836.924283028</v>
      </c>
      <c r="AC20" s="29">
        <v>72433257.659999996</v>
      </c>
      <c r="AD20" s="30">
        <v>80862385.38000001</v>
      </c>
      <c r="AE20" s="163">
        <v>83663355.219999999</v>
      </c>
      <c r="AF20" s="30">
        <v>55122803.960000008</v>
      </c>
      <c r="AG20" s="29">
        <v>63762913.379999995</v>
      </c>
      <c r="AH20" s="30">
        <v>69620691.890000001</v>
      </c>
      <c r="AI20" s="163">
        <v>75836912.51000002</v>
      </c>
      <c r="AJ20" s="30">
        <v>56399534.820000023</v>
      </c>
      <c r="AK20" s="29">
        <v>60386081.00999999</v>
      </c>
      <c r="AL20" s="30">
        <v>79159420.670000002</v>
      </c>
      <c r="AM20" s="163">
        <v>76724768.140000001</v>
      </c>
      <c r="AN20" s="30">
        <v>43937335.740000002</v>
      </c>
      <c r="AO20" s="29">
        <v>54350308.689999998</v>
      </c>
      <c r="AP20" s="30">
        <v>68034053.260000005</v>
      </c>
      <c r="AQ20" s="163">
        <v>65917293.439999998</v>
      </c>
      <c r="AR20" s="123">
        <v>37784715.229999997</v>
      </c>
      <c r="AS20" s="29">
        <v>51686907.450000003</v>
      </c>
      <c r="AT20" s="28">
        <v>64213391.609999999</v>
      </c>
      <c r="AU20" s="55">
        <v>64112948.450000003</v>
      </c>
      <c r="AV20" s="30">
        <v>33510675.170000002</v>
      </c>
      <c r="AW20" s="29">
        <v>39818714.75</v>
      </c>
      <c r="AX20" s="30">
        <v>54154714.850000001</v>
      </c>
      <c r="AY20" s="55">
        <v>57131654.390000001</v>
      </c>
      <c r="AZ20" s="30">
        <v>35526719.020000003</v>
      </c>
      <c r="BA20" s="29">
        <v>35601976.170000002</v>
      </c>
      <c r="BB20" s="30">
        <v>51457250.310000002</v>
      </c>
      <c r="BC20" s="29">
        <v>44225594.090000004</v>
      </c>
    </row>
    <row r="21" spans="1:55" ht="27.9" customHeight="1">
      <c r="A21" s="7" t="s">
        <v>41</v>
      </c>
      <c r="B21" s="30">
        <v>0</v>
      </c>
      <c r="C21" s="163">
        <v>0</v>
      </c>
      <c r="D21" s="30">
        <v>0</v>
      </c>
      <c r="E21" s="29">
        <v>0</v>
      </c>
      <c r="F21" s="30">
        <v>0</v>
      </c>
      <c r="G21" s="163">
        <v>0</v>
      </c>
      <c r="H21" s="30">
        <v>0</v>
      </c>
      <c r="I21" s="29">
        <v>0</v>
      </c>
      <c r="J21" s="30">
        <v>623106</v>
      </c>
      <c r="K21" s="163">
        <v>0</v>
      </c>
      <c r="L21" s="30">
        <v>0</v>
      </c>
      <c r="M21" s="29">
        <v>0</v>
      </c>
      <c r="N21" s="30">
        <v>0</v>
      </c>
      <c r="O21" s="163">
        <v>0</v>
      </c>
      <c r="P21" s="30">
        <v>0</v>
      </c>
      <c r="Q21" s="29">
        <v>0</v>
      </c>
      <c r="R21" s="30">
        <v>0</v>
      </c>
      <c r="S21" s="163">
        <v>0</v>
      </c>
      <c r="T21" s="30">
        <v>0</v>
      </c>
      <c r="U21" s="29">
        <v>0</v>
      </c>
      <c r="V21" s="30">
        <v>0</v>
      </c>
      <c r="W21" s="163">
        <v>0</v>
      </c>
      <c r="X21" s="30">
        <v>0</v>
      </c>
      <c r="Y21" s="29">
        <v>0</v>
      </c>
      <c r="Z21" s="30">
        <v>0</v>
      </c>
      <c r="AA21" s="163">
        <v>4239</v>
      </c>
      <c r="AB21" s="30">
        <v>90295</v>
      </c>
      <c r="AC21" s="29">
        <v>0</v>
      </c>
      <c r="AD21" s="30">
        <v>0</v>
      </c>
      <c r="AE21" s="163">
        <v>0</v>
      </c>
      <c r="AF21" s="30">
        <v>0</v>
      </c>
      <c r="AG21" s="29">
        <v>0</v>
      </c>
      <c r="AH21" s="30">
        <v>0</v>
      </c>
      <c r="AI21" s="163">
        <v>0</v>
      </c>
      <c r="AJ21" s="30">
        <v>0</v>
      </c>
      <c r="AK21" s="29">
        <v>214230</v>
      </c>
      <c r="AL21" s="30">
        <v>0</v>
      </c>
      <c r="AM21" s="163">
        <v>0</v>
      </c>
      <c r="AN21" s="30">
        <v>0</v>
      </c>
      <c r="AO21" s="29">
        <v>0</v>
      </c>
      <c r="AP21" s="30">
        <v>0</v>
      </c>
      <c r="AQ21" s="163">
        <v>0</v>
      </c>
      <c r="AR21" s="123">
        <v>0</v>
      </c>
      <c r="AS21" s="29">
        <v>0</v>
      </c>
      <c r="AT21" s="28">
        <v>0</v>
      </c>
      <c r="AU21" s="55">
        <v>0</v>
      </c>
      <c r="AV21" s="30">
        <v>494777</v>
      </c>
      <c r="AW21" s="29">
        <v>0</v>
      </c>
      <c r="AX21" s="30">
        <v>0</v>
      </c>
      <c r="AY21" s="55">
        <v>1253887</v>
      </c>
      <c r="AZ21" s="30">
        <v>1916426.69</v>
      </c>
      <c r="BA21" s="29">
        <v>1306551.69</v>
      </c>
      <c r="BB21" s="30">
        <v>691721</v>
      </c>
      <c r="BC21" s="29">
        <v>904449</v>
      </c>
    </row>
    <row r="22" spans="1:55" ht="27.9" customHeight="1">
      <c r="A22" s="7" t="s">
        <v>172</v>
      </c>
      <c r="B22" s="30">
        <v>0</v>
      </c>
      <c r="C22" s="163">
        <v>0</v>
      </c>
      <c r="D22" s="30">
        <v>0</v>
      </c>
      <c r="E22" s="29">
        <v>0</v>
      </c>
      <c r="F22" s="30">
        <v>0</v>
      </c>
      <c r="G22" s="163">
        <v>0</v>
      </c>
      <c r="H22" s="30">
        <v>0</v>
      </c>
      <c r="I22" s="29">
        <v>0</v>
      </c>
      <c r="J22" s="30">
        <v>0</v>
      </c>
      <c r="K22" s="163">
        <v>0</v>
      </c>
      <c r="L22" s="30">
        <v>0</v>
      </c>
      <c r="M22" s="29">
        <v>0</v>
      </c>
      <c r="N22" s="30">
        <v>0</v>
      </c>
      <c r="O22" s="163">
        <v>0</v>
      </c>
      <c r="P22" s="30">
        <v>0</v>
      </c>
      <c r="Q22" s="29">
        <v>0</v>
      </c>
      <c r="R22" s="30">
        <v>0</v>
      </c>
      <c r="S22" s="163">
        <v>0</v>
      </c>
      <c r="T22" s="30">
        <v>0</v>
      </c>
      <c r="U22" s="29">
        <v>0</v>
      </c>
      <c r="V22" s="30">
        <v>0</v>
      </c>
      <c r="W22" s="163">
        <v>0</v>
      </c>
      <c r="X22" s="30">
        <v>0</v>
      </c>
      <c r="Y22" s="29">
        <v>0</v>
      </c>
      <c r="Z22" s="30">
        <v>0</v>
      </c>
      <c r="AA22" s="163">
        <v>0</v>
      </c>
      <c r="AB22" s="34">
        <v>0</v>
      </c>
      <c r="AC22" s="29">
        <v>0</v>
      </c>
      <c r="AD22" s="30">
        <v>0</v>
      </c>
      <c r="AE22" s="163">
        <v>0</v>
      </c>
      <c r="AF22" s="30">
        <v>0</v>
      </c>
      <c r="AG22" s="29">
        <v>0</v>
      </c>
      <c r="AH22" s="30">
        <v>0</v>
      </c>
      <c r="AI22" s="163">
        <v>0</v>
      </c>
      <c r="AJ22" s="30">
        <v>0</v>
      </c>
      <c r="AK22" s="29">
        <v>0</v>
      </c>
      <c r="AL22" s="30">
        <v>0</v>
      </c>
      <c r="AM22" s="163">
        <v>0</v>
      </c>
      <c r="AN22" s="30">
        <v>0</v>
      </c>
      <c r="AO22" s="29">
        <v>0</v>
      </c>
      <c r="AP22" s="30">
        <v>0</v>
      </c>
      <c r="AQ22" s="163">
        <v>0</v>
      </c>
      <c r="AR22" s="123">
        <v>0</v>
      </c>
      <c r="AS22" s="29"/>
      <c r="AT22" s="28"/>
      <c r="AU22" s="55"/>
      <c r="AV22" s="30">
        <v>0</v>
      </c>
      <c r="AW22" s="29"/>
      <c r="AX22" s="30"/>
      <c r="AY22" s="55"/>
      <c r="AZ22" s="30">
        <v>0</v>
      </c>
      <c r="BA22" s="29"/>
      <c r="BB22" s="30"/>
      <c r="BC22" s="29"/>
    </row>
    <row r="23" spans="1:55" ht="27.9" customHeight="1">
      <c r="A23" s="7" t="s">
        <v>157</v>
      </c>
      <c r="B23" s="30">
        <v>590215.17000000004</v>
      </c>
      <c r="C23" s="163">
        <v>12000</v>
      </c>
      <c r="D23" s="30">
        <v>12000</v>
      </c>
      <c r="E23" s="29">
        <v>670654.82999999996</v>
      </c>
      <c r="F23" s="30">
        <v>659887.43000000005</v>
      </c>
      <c r="G23" s="163">
        <v>1463830.06</v>
      </c>
      <c r="H23" s="30">
        <v>1408655.23</v>
      </c>
      <c r="I23" s="29">
        <v>0</v>
      </c>
      <c r="J23" s="30">
        <v>0</v>
      </c>
      <c r="K23" s="163">
        <v>0</v>
      </c>
      <c r="L23" s="30">
        <v>0</v>
      </c>
      <c r="M23" s="29">
        <v>0</v>
      </c>
      <c r="N23" s="30">
        <v>0</v>
      </c>
      <c r="O23" s="163">
        <v>583336.56999999995</v>
      </c>
      <c r="P23" s="30">
        <v>599736.56999999995</v>
      </c>
      <c r="Q23" s="29">
        <v>595178.12</v>
      </c>
      <c r="R23" s="30">
        <v>604243.32999999996</v>
      </c>
      <c r="S23" s="163">
        <v>615856.46</v>
      </c>
      <c r="T23" s="30">
        <v>623356.46</v>
      </c>
      <c r="U23" s="29">
        <v>15540.16</v>
      </c>
      <c r="V23" s="30">
        <v>35040.160000000003</v>
      </c>
      <c r="W23" s="163">
        <v>35939.42</v>
      </c>
      <c r="X23" s="30">
        <v>763984.93</v>
      </c>
      <c r="Y23" s="29">
        <v>39220.14</v>
      </c>
      <c r="Z23" s="30">
        <v>40220.14</v>
      </c>
      <c r="AA23" s="163">
        <v>0</v>
      </c>
      <c r="AB23" s="30">
        <v>0</v>
      </c>
      <c r="AC23" s="29">
        <v>0</v>
      </c>
      <c r="AD23" s="30">
        <v>0</v>
      </c>
      <c r="AE23" s="163">
        <v>0</v>
      </c>
      <c r="AF23" s="30">
        <v>0</v>
      </c>
      <c r="AG23" s="29">
        <v>0</v>
      </c>
      <c r="AH23" s="30">
        <v>0</v>
      </c>
      <c r="AI23" s="163">
        <v>0</v>
      </c>
      <c r="AJ23" s="30">
        <v>0</v>
      </c>
      <c r="AK23" s="29">
        <v>2093507.4199999997</v>
      </c>
      <c r="AL23" s="30">
        <v>1919920.86</v>
      </c>
      <c r="AM23" s="163">
        <v>1368173.85</v>
      </c>
      <c r="AN23" s="30">
        <v>1117169.3500000001</v>
      </c>
      <c r="AO23" s="29">
        <v>697121.57</v>
      </c>
      <c r="AP23" s="30">
        <v>478151.42</v>
      </c>
      <c r="AQ23" s="163">
        <v>365055.12</v>
      </c>
      <c r="AR23" s="123">
        <v>238080.34</v>
      </c>
      <c r="AS23" s="29"/>
      <c r="AT23" s="28"/>
      <c r="AU23" s="55">
        <v>0</v>
      </c>
      <c r="AV23" s="30">
        <v>0</v>
      </c>
      <c r="AW23" s="29"/>
      <c r="AX23" s="30"/>
      <c r="AY23" s="55"/>
      <c r="AZ23" s="30">
        <v>0</v>
      </c>
      <c r="BA23" s="29"/>
      <c r="BB23" s="30"/>
      <c r="BC23" s="29"/>
    </row>
    <row r="24" spans="1:55" ht="27.9" customHeight="1">
      <c r="A24" s="7" t="s">
        <v>117</v>
      </c>
      <c r="B24" s="30">
        <v>573926.14</v>
      </c>
      <c r="C24" s="163">
        <v>1175751.42</v>
      </c>
      <c r="D24" s="30">
        <v>595728.53999999992</v>
      </c>
      <c r="E24" s="29">
        <v>217049.49</v>
      </c>
      <c r="F24" s="30">
        <v>199976.36</v>
      </c>
      <c r="G24" s="163">
        <v>1367671.92</v>
      </c>
      <c r="H24" s="30">
        <v>1940719.46</v>
      </c>
      <c r="I24" s="29">
        <v>485216.1</v>
      </c>
      <c r="J24" s="30">
        <v>2172970.92</v>
      </c>
      <c r="K24" s="163">
        <v>1539407.52</v>
      </c>
      <c r="L24" s="30">
        <v>809149.99</v>
      </c>
      <c r="M24" s="29">
        <v>0</v>
      </c>
      <c r="N24" s="30">
        <v>0</v>
      </c>
      <c r="O24" s="163">
        <v>115862.58</v>
      </c>
      <c r="P24" s="30">
        <v>0</v>
      </c>
      <c r="Q24" s="29">
        <v>0</v>
      </c>
      <c r="R24" s="30">
        <v>147487.51</v>
      </c>
      <c r="S24" s="163">
        <v>0</v>
      </c>
      <c r="T24" s="30">
        <v>0</v>
      </c>
      <c r="U24" s="29">
        <v>0</v>
      </c>
      <c r="V24" s="30">
        <v>0</v>
      </c>
      <c r="W24" s="163">
        <v>0</v>
      </c>
      <c r="X24" s="30">
        <v>296773.32</v>
      </c>
      <c r="Y24" s="29">
        <v>0</v>
      </c>
      <c r="Z24" s="30">
        <v>155422.04</v>
      </c>
      <c r="AA24" s="163">
        <v>234170.03</v>
      </c>
      <c r="AB24" s="30">
        <v>296179.52</v>
      </c>
      <c r="AC24" s="29">
        <v>129293.93</v>
      </c>
      <c r="AD24" s="30">
        <v>181859.36</v>
      </c>
      <c r="AE24" s="163">
        <v>151892.07</v>
      </c>
      <c r="AF24" s="30">
        <v>259502.25</v>
      </c>
      <c r="AG24" s="29">
        <v>696637.64</v>
      </c>
      <c r="AH24" s="30">
        <v>696637.64</v>
      </c>
      <c r="AI24" s="163">
        <v>91401.95</v>
      </c>
      <c r="AJ24" s="30">
        <v>91401.95</v>
      </c>
      <c r="AK24" s="29">
        <v>23441.51</v>
      </c>
      <c r="AL24" s="30">
        <v>23441.51</v>
      </c>
      <c r="AM24" s="163">
        <v>0</v>
      </c>
      <c r="AN24" s="30">
        <v>0</v>
      </c>
      <c r="AO24" s="29">
        <v>0</v>
      </c>
      <c r="AP24" s="30">
        <v>0</v>
      </c>
      <c r="AQ24" s="163">
        <v>0</v>
      </c>
      <c r="AR24" s="123">
        <v>0</v>
      </c>
      <c r="AS24" s="29">
        <v>5983.86</v>
      </c>
      <c r="AT24" s="28">
        <v>5983.86</v>
      </c>
      <c r="AU24" s="55">
        <v>539650.13</v>
      </c>
      <c r="AV24" s="30">
        <v>539650.13</v>
      </c>
      <c r="AW24" s="29">
        <v>118415.5</v>
      </c>
      <c r="AX24" s="30">
        <v>0</v>
      </c>
      <c r="AY24" s="55"/>
      <c r="AZ24" s="30">
        <v>0</v>
      </c>
      <c r="BA24" s="29">
        <v>35869.870000000003</v>
      </c>
      <c r="BB24" s="30">
        <v>35869.870000000003</v>
      </c>
      <c r="BC24" s="29">
        <v>0</v>
      </c>
    </row>
    <row r="25" spans="1:55" ht="27.9" customHeight="1">
      <c r="A25" s="7" t="s">
        <v>42</v>
      </c>
      <c r="B25" s="30">
        <v>52603557.799999997</v>
      </c>
      <c r="C25" s="163">
        <v>62656793.610000014</v>
      </c>
      <c r="D25" s="30">
        <v>56158130.240000024</v>
      </c>
      <c r="E25" s="29">
        <v>21763159.050000001</v>
      </c>
      <c r="F25" s="30">
        <f>32581465.76+0.01</f>
        <v>32581465.770000003</v>
      </c>
      <c r="G25" s="163">
        <v>26795845.780000001</v>
      </c>
      <c r="H25" s="30">
        <v>17537992.27</v>
      </c>
      <c r="I25" s="29">
        <v>10599694.899999999</v>
      </c>
      <c r="J25" s="30">
        <v>11737653.92</v>
      </c>
      <c r="K25" s="163">
        <v>20454017.199999999</v>
      </c>
      <c r="L25" s="30">
        <f>12421653.64-0.01</f>
        <v>12421653.630000001</v>
      </c>
      <c r="M25" s="29">
        <f>14402020.97+0.01</f>
        <v>14402020.98</v>
      </c>
      <c r="N25" s="30">
        <v>16407711.529999999</v>
      </c>
      <c r="O25" s="163">
        <v>16071966.6</v>
      </c>
      <c r="P25" s="30">
        <f>17189659.42+0.01</f>
        <v>17189659.430000003</v>
      </c>
      <c r="Q25" s="29">
        <v>11401228.289999999</v>
      </c>
      <c r="R25" s="30">
        <v>10987879.779999999</v>
      </c>
      <c r="S25" s="163">
        <v>13013831.76</v>
      </c>
      <c r="T25" s="30">
        <v>11650715.880000001</v>
      </c>
      <c r="U25" s="29">
        <f>9702294.72-0.01</f>
        <v>9702294.7100000009</v>
      </c>
      <c r="V25" s="30">
        <v>11262389.449999999</v>
      </c>
      <c r="W25" s="163">
        <v>13136727.630000001</v>
      </c>
      <c r="X25" s="30">
        <v>17240406.670000002</v>
      </c>
      <c r="Y25" s="29">
        <v>9249801.7699999996</v>
      </c>
      <c r="Z25" s="30">
        <v>8776167.2599999998</v>
      </c>
      <c r="AA25" s="163">
        <v>10760253.17</v>
      </c>
      <c r="AB25" s="30">
        <v>7130851.6300000018</v>
      </c>
      <c r="AC25" s="29">
        <f>9457137.97-0.01</f>
        <v>9457137.9600000009</v>
      </c>
      <c r="AD25" s="30">
        <v>11044489.489999998</v>
      </c>
      <c r="AE25" s="163">
        <v>9035212.3000000045</v>
      </c>
      <c r="AF25" s="30">
        <v>6315254.4200000018</v>
      </c>
      <c r="AG25" s="29">
        <v>8023001.4000000004</v>
      </c>
      <c r="AH25" s="30">
        <v>8579048.6999999993</v>
      </c>
      <c r="AI25" s="163">
        <v>9851262.2300000004</v>
      </c>
      <c r="AJ25" s="30">
        <v>6097864.5200000005</v>
      </c>
      <c r="AK25" s="29">
        <v>6628439.1599999992</v>
      </c>
      <c r="AL25" s="30">
        <v>7542239.71</v>
      </c>
      <c r="AM25" s="163">
        <v>10566952.23</v>
      </c>
      <c r="AN25" s="30">
        <v>9492086.4399999995</v>
      </c>
      <c r="AO25" s="29">
        <v>13060325.49</v>
      </c>
      <c r="AP25" s="30">
        <v>15568899.15</v>
      </c>
      <c r="AQ25" s="163">
        <v>22383401.32</v>
      </c>
      <c r="AR25" s="123">
        <v>29743225.25</v>
      </c>
      <c r="AS25" s="29">
        <v>8631109.2400000002</v>
      </c>
      <c r="AT25" s="28">
        <v>7440236.2999999998</v>
      </c>
      <c r="AU25" s="55">
        <v>9664052.9000000004</v>
      </c>
      <c r="AV25" s="30">
        <v>6599535.9299999997</v>
      </c>
      <c r="AW25" s="29">
        <v>3704394.75</v>
      </c>
      <c r="AX25" s="30">
        <v>3729526.46</v>
      </c>
      <c r="AY25" s="55">
        <v>8627737.0800000001</v>
      </c>
      <c r="AZ25" s="30">
        <v>4067997.32</v>
      </c>
      <c r="BA25" s="29">
        <v>4380302.87</v>
      </c>
      <c r="BB25" s="30">
        <v>5623560.8700000001</v>
      </c>
      <c r="BC25" s="29">
        <v>7934741.5</v>
      </c>
    </row>
    <row r="26" spans="1:55" ht="27.9" customHeight="1">
      <c r="A26" s="7" t="s">
        <v>211</v>
      </c>
      <c r="B26" s="30">
        <v>0</v>
      </c>
      <c r="C26" s="163">
        <v>0</v>
      </c>
      <c r="D26" s="30">
        <v>0</v>
      </c>
      <c r="E26" s="29">
        <v>0</v>
      </c>
      <c r="F26" s="30">
        <v>0</v>
      </c>
      <c r="G26" s="163">
        <v>0</v>
      </c>
      <c r="H26" s="30">
        <v>0</v>
      </c>
      <c r="I26" s="29">
        <v>0</v>
      </c>
      <c r="J26" s="30">
        <v>0</v>
      </c>
      <c r="K26" s="163">
        <v>0</v>
      </c>
      <c r="L26" s="30">
        <v>0</v>
      </c>
      <c r="M26" s="29">
        <v>0</v>
      </c>
      <c r="N26" s="30">
        <v>0</v>
      </c>
      <c r="O26" s="163">
        <v>0</v>
      </c>
      <c r="P26" s="30">
        <v>0</v>
      </c>
      <c r="Q26" s="29">
        <v>0</v>
      </c>
      <c r="R26" s="30">
        <v>0</v>
      </c>
      <c r="S26" s="163">
        <v>0</v>
      </c>
      <c r="T26" s="30">
        <v>0</v>
      </c>
      <c r="U26" s="29">
        <v>0</v>
      </c>
      <c r="V26" s="30">
        <v>0</v>
      </c>
      <c r="W26" s="163">
        <v>0</v>
      </c>
      <c r="X26" s="30">
        <v>0</v>
      </c>
      <c r="Y26" s="29">
        <v>0</v>
      </c>
      <c r="Z26" s="30">
        <v>0</v>
      </c>
      <c r="AA26" s="163">
        <v>0</v>
      </c>
      <c r="AB26" s="30">
        <v>0</v>
      </c>
      <c r="AC26" s="29">
        <v>0</v>
      </c>
      <c r="AD26" s="30">
        <v>0</v>
      </c>
      <c r="AE26" s="163">
        <v>0</v>
      </c>
      <c r="AF26" s="30">
        <v>0</v>
      </c>
      <c r="AG26" s="29">
        <v>0</v>
      </c>
      <c r="AH26" s="30">
        <v>0</v>
      </c>
      <c r="AI26" s="163">
        <v>0</v>
      </c>
      <c r="AJ26" s="30">
        <v>0</v>
      </c>
      <c r="AK26" s="29">
        <v>1061634.8799999999</v>
      </c>
      <c r="AL26" s="30">
        <v>0</v>
      </c>
      <c r="AM26" s="163">
        <v>0</v>
      </c>
      <c r="AN26" s="30"/>
      <c r="AO26" s="29"/>
      <c r="AP26" s="30"/>
      <c r="AQ26" s="163"/>
      <c r="AR26" s="123"/>
      <c r="AS26" s="29"/>
      <c r="AT26" s="28"/>
      <c r="AU26" s="55"/>
      <c r="AV26" s="30"/>
      <c r="AW26" s="29"/>
      <c r="AX26" s="30"/>
      <c r="AY26" s="55"/>
      <c r="AZ26" s="30"/>
      <c r="BA26" s="29"/>
      <c r="BB26" s="30"/>
      <c r="BC26" s="29"/>
    </row>
    <row r="27" spans="1:55" ht="27.9" customHeight="1">
      <c r="A27" s="7" t="s">
        <v>210</v>
      </c>
      <c r="B27" s="30">
        <v>769639.86</v>
      </c>
      <c r="C27" s="163">
        <v>964587.48</v>
      </c>
      <c r="D27" s="30">
        <v>912353.63</v>
      </c>
      <c r="E27" s="29">
        <v>672874.02</v>
      </c>
      <c r="F27" s="30">
        <v>656746.38</v>
      </c>
      <c r="G27" s="163">
        <v>1353609.99</v>
      </c>
      <c r="H27" s="30">
        <v>1423997.37</v>
      </c>
      <c r="I27" s="29">
        <v>955502.74</v>
      </c>
      <c r="J27" s="30">
        <v>1039265.33</v>
      </c>
      <c r="K27" s="163">
        <v>1080358.8</v>
      </c>
      <c r="L27" s="30">
        <v>1205320.6000000001</v>
      </c>
      <c r="M27" s="29">
        <v>1020573.95</v>
      </c>
      <c r="N27" s="30">
        <v>1112784.6399999999</v>
      </c>
      <c r="O27" s="163">
        <v>1394162.88</v>
      </c>
      <c r="P27" s="30">
        <v>1599939.3</v>
      </c>
      <c r="Q27" s="29">
        <v>1642582.42</v>
      </c>
      <c r="R27" s="30">
        <v>1570151.25</v>
      </c>
      <c r="S27" s="163">
        <v>1515000.21</v>
      </c>
      <c r="T27" s="30">
        <v>1550263.57</v>
      </c>
      <c r="U27" s="29">
        <v>994195.13</v>
      </c>
      <c r="V27" s="30">
        <v>1185693.25</v>
      </c>
      <c r="W27" s="163">
        <v>1039415.32</v>
      </c>
      <c r="X27" s="30">
        <v>1034039.44</v>
      </c>
      <c r="Y27" s="29">
        <v>928443.12</v>
      </c>
      <c r="Z27" s="30">
        <v>3690314.84</v>
      </c>
      <c r="AA27" s="163">
        <v>1449505.16</v>
      </c>
      <c r="AB27" s="30">
        <v>2158015.5599999996</v>
      </c>
      <c r="AC27" s="29">
        <v>973034.28</v>
      </c>
      <c r="AD27" s="30">
        <v>1056360.42</v>
      </c>
      <c r="AE27" s="163">
        <v>991849.86</v>
      </c>
      <c r="AF27" s="30">
        <v>1065768.21</v>
      </c>
      <c r="AG27" s="29">
        <v>1108918.8</v>
      </c>
      <c r="AH27" s="30">
        <v>1472287.75</v>
      </c>
      <c r="AI27" s="163">
        <v>1503787.86</v>
      </c>
      <c r="AJ27" s="30">
        <v>1412026.67</v>
      </c>
      <c r="AK27" s="29">
        <v>1276439.24</v>
      </c>
      <c r="AL27" s="30">
        <v>1240830.42</v>
      </c>
      <c r="AM27" s="163">
        <v>1243569.56</v>
      </c>
      <c r="AN27" s="30">
        <v>1195634.6100000001</v>
      </c>
      <c r="AO27" s="29">
        <v>1207960.74</v>
      </c>
      <c r="AP27" s="30">
        <v>1073742.8799999999</v>
      </c>
      <c r="AQ27" s="163">
        <v>1244939.1299999999</v>
      </c>
      <c r="AR27" s="123">
        <v>2214250</v>
      </c>
      <c r="AS27" s="29">
        <v>2214000</v>
      </c>
      <c r="AT27" s="28">
        <v>3099460.26</v>
      </c>
      <c r="AU27" s="55">
        <v>5107362.62</v>
      </c>
      <c r="AV27" s="30">
        <v>3252083.12</v>
      </c>
      <c r="AW27" s="29">
        <v>23849.85</v>
      </c>
      <c r="AX27" s="30">
        <v>99059.45</v>
      </c>
      <c r="AY27" s="55">
        <v>92674.85</v>
      </c>
      <c r="AZ27" s="30">
        <v>388254.45</v>
      </c>
      <c r="BA27" s="29">
        <v>2180085.4500000002</v>
      </c>
      <c r="BB27" s="30">
        <v>2077184.55</v>
      </c>
      <c r="BC27" s="29">
        <v>2181654.5</v>
      </c>
    </row>
    <row r="28" spans="1:55" ht="27.9" customHeight="1">
      <c r="A28" s="7" t="s">
        <v>284</v>
      </c>
      <c r="B28" s="30">
        <v>115000000</v>
      </c>
      <c r="C28" s="163">
        <v>127000000</v>
      </c>
      <c r="D28" s="30">
        <v>77000000</v>
      </c>
      <c r="E28" s="29">
        <v>0</v>
      </c>
      <c r="F28" s="30">
        <v>0</v>
      </c>
      <c r="G28" s="163">
        <v>0</v>
      </c>
      <c r="H28" s="30">
        <v>0</v>
      </c>
      <c r="I28" s="29">
        <v>0</v>
      </c>
      <c r="J28" s="30">
        <v>0</v>
      </c>
      <c r="K28" s="163">
        <v>0</v>
      </c>
      <c r="L28" s="30">
        <v>0</v>
      </c>
      <c r="M28" s="29">
        <v>0</v>
      </c>
      <c r="N28" s="30">
        <v>0</v>
      </c>
      <c r="O28" s="163">
        <v>0</v>
      </c>
      <c r="P28" s="30">
        <v>0</v>
      </c>
      <c r="Q28" s="29">
        <v>0</v>
      </c>
      <c r="R28" s="30">
        <v>0</v>
      </c>
      <c r="S28" s="163">
        <v>0</v>
      </c>
      <c r="T28" s="30">
        <v>0</v>
      </c>
      <c r="U28" s="29">
        <v>0</v>
      </c>
      <c r="V28" s="30">
        <v>0</v>
      </c>
      <c r="W28" s="163">
        <v>0</v>
      </c>
      <c r="X28" s="30">
        <v>0</v>
      </c>
      <c r="Y28" s="29">
        <v>0</v>
      </c>
      <c r="Z28" s="30">
        <v>0</v>
      </c>
      <c r="AA28" s="163">
        <v>0</v>
      </c>
      <c r="AB28" s="30">
        <v>0</v>
      </c>
      <c r="AC28" s="29">
        <v>0</v>
      </c>
      <c r="AD28" s="30">
        <v>0</v>
      </c>
      <c r="AE28" s="163">
        <v>0</v>
      </c>
      <c r="AF28" s="30">
        <v>0</v>
      </c>
      <c r="AG28" s="29">
        <v>0</v>
      </c>
      <c r="AH28" s="30">
        <v>0</v>
      </c>
      <c r="AI28" s="163">
        <v>0</v>
      </c>
      <c r="AJ28" s="30">
        <v>0</v>
      </c>
      <c r="AK28" s="29">
        <v>0</v>
      </c>
      <c r="AL28" s="30">
        <v>0</v>
      </c>
      <c r="AM28" s="163">
        <v>0</v>
      </c>
      <c r="AN28" s="30">
        <v>0</v>
      </c>
      <c r="AO28" s="29">
        <v>0</v>
      </c>
      <c r="AP28" s="30">
        <v>0</v>
      </c>
      <c r="AQ28" s="163">
        <v>0</v>
      </c>
      <c r="AR28" s="123">
        <v>0</v>
      </c>
      <c r="AS28" s="29">
        <v>0</v>
      </c>
      <c r="AT28" s="28">
        <v>0</v>
      </c>
      <c r="AU28" s="55">
        <v>0</v>
      </c>
      <c r="AV28" s="30">
        <v>0</v>
      </c>
      <c r="AW28" s="29">
        <v>0</v>
      </c>
      <c r="AX28" s="30">
        <v>0</v>
      </c>
      <c r="AY28" s="55">
        <v>0</v>
      </c>
      <c r="AZ28" s="30">
        <v>0</v>
      </c>
      <c r="BA28" s="29">
        <v>0</v>
      </c>
      <c r="BB28" s="30">
        <v>0</v>
      </c>
      <c r="BC28" s="29">
        <v>0</v>
      </c>
    </row>
    <row r="29" spans="1:55" ht="27.9" customHeight="1">
      <c r="A29" s="7" t="s">
        <v>43</v>
      </c>
      <c r="B29" s="30">
        <v>59183059.600000001</v>
      </c>
      <c r="C29" s="163">
        <v>43448907.986127004</v>
      </c>
      <c r="D29" s="30">
        <v>162661539.40966803</v>
      </c>
      <c r="E29" s="29">
        <v>97128536.099999994</v>
      </c>
      <c r="F29" s="30">
        <v>90795962.680000007</v>
      </c>
      <c r="G29" s="163">
        <v>63535472.530000001</v>
      </c>
      <c r="H29" s="30">
        <v>96803979.40715</v>
      </c>
      <c r="I29" s="29">
        <v>23957747.434133004</v>
      </c>
      <c r="J29" s="30">
        <v>18139796.73</v>
      </c>
      <c r="K29" s="163">
        <v>4626782.82</v>
      </c>
      <c r="L29" s="30">
        <v>10208008.08</v>
      </c>
      <c r="M29" s="29">
        <v>2910115.69</v>
      </c>
      <c r="N29" s="30">
        <f>6667561.84-0.01</f>
        <v>6667561.8300000001</v>
      </c>
      <c r="O29" s="163">
        <v>4191485.34</v>
      </c>
      <c r="P29" s="30">
        <v>8135821.8600000003</v>
      </c>
      <c r="Q29" s="29">
        <v>6660621.04</v>
      </c>
      <c r="R29" s="30">
        <v>6924607.1399999997</v>
      </c>
      <c r="S29" s="163">
        <v>6910521.1600000001</v>
      </c>
      <c r="T29" s="30">
        <v>11541893.880000001</v>
      </c>
      <c r="U29" s="29">
        <v>3900335.34</v>
      </c>
      <c r="V29" s="30">
        <v>9511754.9800000004</v>
      </c>
      <c r="W29" s="163">
        <v>1180154.99</v>
      </c>
      <c r="X29" s="30">
        <v>9649014.8200000003</v>
      </c>
      <c r="Y29" s="29">
        <v>1526894.69</v>
      </c>
      <c r="Z29" s="30">
        <f>3204319.43-0.01</f>
        <v>3204319.4200000004</v>
      </c>
      <c r="AA29" s="163">
        <f>1611806.47+0.01</f>
        <v>1611806.48</v>
      </c>
      <c r="AB29" s="30">
        <v>8156756.2078860002</v>
      </c>
      <c r="AC29" s="29">
        <v>2419204.84</v>
      </c>
      <c r="AD29" s="30">
        <v>3614779.2100000004</v>
      </c>
      <c r="AE29" s="163">
        <v>2409912.23</v>
      </c>
      <c r="AF29" s="30">
        <v>2484709.62</v>
      </c>
      <c r="AG29" s="29">
        <v>3603234.5999999996</v>
      </c>
      <c r="AH29" s="30">
        <v>2104103.2499999995</v>
      </c>
      <c r="AI29" s="163">
        <v>1359954.4500000002</v>
      </c>
      <c r="AJ29" s="30">
        <v>2470500.7600000002</v>
      </c>
      <c r="AK29" s="29">
        <v>1545896.3900000001</v>
      </c>
      <c r="AL29" s="30">
        <v>1786517.06</v>
      </c>
      <c r="AM29" s="163">
        <v>2199559.83</v>
      </c>
      <c r="AN29" s="30">
        <v>4524100.2699999996</v>
      </c>
      <c r="AO29" s="29">
        <v>4508791.51</v>
      </c>
      <c r="AP29" s="30">
        <v>3027473.99</v>
      </c>
      <c r="AQ29" s="163">
        <v>2524352.67</v>
      </c>
      <c r="AR29" s="123">
        <v>4369921.21</v>
      </c>
      <c r="AS29" s="29">
        <v>4395490.87</v>
      </c>
      <c r="AT29" s="28">
        <v>5950401.46</v>
      </c>
      <c r="AU29" s="55">
        <v>3846734.57</v>
      </c>
      <c r="AV29" s="30">
        <v>6249331.1600000001</v>
      </c>
      <c r="AW29" s="29">
        <v>1599035.2</v>
      </c>
      <c r="AX29" s="30">
        <v>779368.79</v>
      </c>
      <c r="AY29" s="55">
        <v>1325619.42</v>
      </c>
      <c r="AZ29" s="30">
        <v>2807911.28</v>
      </c>
      <c r="BA29" s="29">
        <v>427135.87</v>
      </c>
      <c r="BB29" s="30">
        <v>2540955.7599999998</v>
      </c>
      <c r="BC29" s="29">
        <v>858664.32</v>
      </c>
    </row>
    <row r="30" spans="1:55" ht="27.9" customHeight="1">
      <c r="A30" s="7" t="s">
        <v>119</v>
      </c>
      <c r="B30" s="30">
        <v>0</v>
      </c>
      <c r="C30" s="163">
        <v>0</v>
      </c>
      <c r="D30" s="30">
        <v>0</v>
      </c>
      <c r="E30" s="29">
        <v>0</v>
      </c>
      <c r="F30" s="30">
        <v>0</v>
      </c>
      <c r="G30" s="163">
        <v>0</v>
      </c>
      <c r="H30" s="30">
        <v>0</v>
      </c>
      <c r="I30" s="29">
        <v>0</v>
      </c>
      <c r="J30" s="30">
        <v>0</v>
      </c>
      <c r="K30" s="163">
        <v>0</v>
      </c>
      <c r="L30" s="30">
        <v>0</v>
      </c>
      <c r="M30" s="29">
        <v>0</v>
      </c>
      <c r="N30" s="30">
        <v>0</v>
      </c>
      <c r="O30" s="163">
        <v>0</v>
      </c>
      <c r="P30" s="30">
        <v>0</v>
      </c>
      <c r="Q30" s="29">
        <v>0</v>
      </c>
      <c r="R30" s="30">
        <v>0</v>
      </c>
      <c r="S30" s="163">
        <v>0</v>
      </c>
      <c r="T30" s="30">
        <v>0</v>
      </c>
      <c r="U30" s="29">
        <v>0</v>
      </c>
      <c r="V30" s="30">
        <v>0</v>
      </c>
      <c r="W30" s="163">
        <v>0</v>
      </c>
      <c r="X30" s="30">
        <v>0</v>
      </c>
      <c r="Y30" s="29">
        <v>0</v>
      </c>
      <c r="Z30" s="30">
        <v>0</v>
      </c>
      <c r="AA30" s="163">
        <v>0</v>
      </c>
      <c r="AB30" s="30">
        <v>0</v>
      </c>
      <c r="AC30" s="29">
        <v>0</v>
      </c>
      <c r="AD30" s="30">
        <v>0</v>
      </c>
      <c r="AE30" s="163">
        <v>0</v>
      </c>
      <c r="AF30" s="30">
        <v>0</v>
      </c>
      <c r="AG30" s="29">
        <v>0</v>
      </c>
      <c r="AH30" s="30">
        <v>0</v>
      </c>
      <c r="AI30" s="163">
        <v>0</v>
      </c>
      <c r="AJ30" s="30">
        <v>0</v>
      </c>
      <c r="AK30" s="29">
        <v>0</v>
      </c>
      <c r="AL30" s="30">
        <v>0</v>
      </c>
      <c r="AM30" s="163">
        <v>0</v>
      </c>
      <c r="AN30" s="30">
        <v>0</v>
      </c>
      <c r="AO30" s="29">
        <v>0</v>
      </c>
      <c r="AP30" s="30">
        <v>474179.5</v>
      </c>
      <c r="AQ30" s="163">
        <v>2574241.92</v>
      </c>
      <c r="AR30" s="123">
        <v>2551802.81</v>
      </c>
      <c r="AS30" s="29"/>
      <c r="AT30" s="28"/>
      <c r="AU30" s="55">
        <v>0</v>
      </c>
      <c r="AV30" s="30">
        <v>0</v>
      </c>
      <c r="AW30" s="29"/>
      <c r="AX30" s="30"/>
      <c r="AY30" s="55"/>
      <c r="AZ30" s="30">
        <v>0</v>
      </c>
      <c r="BA30" s="29">
        <v>1029400</v>
      </c>
      <c r="BB30" s="30">
        <v>1029400</v>
      </c>
      <c r="BC30" s="29">
        <v>1029400</v>
      </c>
    </row>
    <row r="31" spans="1:55" ht="27.9" customHeight="1">
      <c r="A31" s="10" t="s">
        <v>44</v>
      </c>
      <c r="B31" s="169">
        <f t="shared" ref="B31" si="26">SUM(B19:B30)</f>
        <v>415621535.08999997</v>
      </c>
      <c r="C31" s="165">
        <f>SUM(C19:C30)</f>
        <v>463643154.29954386</v>
      </c>
      <c r="D31" s="169">
        <f t="shared" ref="D31" si="27">SUM(D19:D30)</f>
        <v>499759906.71385527</v>
      </c>
      <c r="E31" s="32">
        <f t="shared" ref="E31" si="28">SUM(E19:E30)</f>
        <v>335646920.47000003</v>
      </c>
      <c r="F31" s="169">
        <f t="shared" ref="F31" si="29">SUM(F19:F30)</f>
        <v>330396035.10000002</v>
      </c>
      <c r="G31" s="165">
        <f>SUM(G19:G30)</f>
        <v>324036818.65999997</v>
      </c>
      <c r="H31" s="169">
        <f t="shared" ref="H31" si="30">SUM(H19:H30)</f>
        <v>310230535.93447173</v>
      </c>
      <c r="I31" s="32">
        <f t="shared" ref="I31" si="31">SUM(I19:I30)</f>
        <v>220133760.53062809</v>
      </c>
      <c r="J31" s="169">
        <f t="shared" ref="J31" si="32">SUM(J19:J30)</f>
        <v>209047353.45999998</v>
      </c>
      <c r="K31" s="165">
        <f t="shared" ref="K31" si="33">SUM(K19:K30)</f>
        <v>211275453.00999999</v>
      </c>
      <c r="L31" s="169">
        <f t="shared" ref="L31" si="34">SUM(L19:L30)</f>
        <v>183274928.74000001</v>
      </c>
      <c r="M31" s="32">
        <f t="shared" ref="M31" si="35">SUM(M19:M30)</f>
        <v>198545655.85999998</v>
      </c>
      <c r="N31" s="169">
        <f t="shared" ref="N31" si="36">SUM(N19:N30)</f>
        <v>212760900.57999998</v>
      </c>
      <c r="O31" s="165">
        <f t="shared" ref="O31" si="37">SUM(O19:O30)</f>
        <v>232929824.28999999</v>
      </c>
      <c r="P31" s="169">
        <f t="shared" ref="P31" si="38">SUM(P19:P30)</f>
        <v>199781221.26000002</v>
      </c>
      <c r="Q31" s="32">
        <f t="shared" ref="Q31" si="39">SUM(Q19:Q30)</f>
        <v>177842187.72</v>
      </c>
      <c r="R31" s="169">
        <f t="shared" ref="R31" si="40">SUM(R19:R30)</f>
        <v>175925795.56999999</v>
      </c>
      <c r="S31" s="165">
        <f t="shared" ref="S31" si="41">SUM(S19:S30)</f>
        <v>196891259.20000002</v>
      </c>
      <c r="T31" s="169">
        <f t="shared" ref="T31:U31" si="42">SUM(T19:T30)</f>
        <v>178266484.41999999</v>
      </c>
      <c r="U31" s="32">
        <f t="shared" si="42"/>
        <v>151583839.16</v>
      </c>
      <c r="V31" s="169">
        <f t="shared" ref="V31:W31" si="43">SUM(V19:V30)</f>
        <v>176105306.08999997</v>
      </c>
      <c r="W31" s="165">
        <f t="shared" si="43"/>
        <v>192457655.41</v>
      </c>
      <c r="X31" s="169">
        <f>SUM(X19:X30)</f>
        <v>175412506.05000001</v>
      </c>
      <c r="Y31" s="32">
        <f t="shared" ref="Y31:AA31" si="44">SUM(Y19:Y30)</f>
        <v>155539901.38999999</v>
      </c>
      <c r="Z31" s="169">
        <f>SUM(Z19:Z30)</f>
        <v>171425827.87999997</v>
      </c>
      <c r="AA31" s="165">
        <f t="shared" si="44"/>
        <v>164025943.59999996</v>
      </c>
      <c r="AB31" s="33">
        <f>SUM(AB19:AB30)</f>
        <v>154632874.90664482</v>
      </c>
      <c r="AC31" s="32">
        <f>SUM(AC19:AC30)</f>
        <v>149171971.06000003</v>
      </c>
      <c r="AD31" s="169">
        <f t="shared" ref="AD31:AE31" si="45">SUM(AD19:AD30)</f>
        <v>164825093.00679988</v>
      </c>
      <c r="AE31" s="165">
        <f t="shared" si="45"/>
        <v>172340570.83836144</v>
      </c>
      <c r="AF31" s="169">
        <f t="shared" ref="AF31" si="46">SUM(AF19:AF30)</f>
        <v>144116218.36787573</v>
      </c>
      <c r="AG31" s="32">
        <f t="shared" ref="AG31" si="47">SUM(AG19:AG30)</f>
        <v>150491041.11981118</v>
      </c>
      <c r="AH31" s="169">
        <f t="shared" ref="AH31" si="48">SUM(AH19:AH30)</f>
        <v>154236901.78550762</v>
      </c>
      <c r="AI31" s="165">
        <f t="shared" ref="AI31" si="49">SUM(AI19:AI30)</f>
        <v>158652709.60704669</v>
      </c>
      <c r="AJ31" s="169">
        <f t="shared" ref="AJ31:AO31" si="50">SUM(AJ19:AJ30)</f>
        <v>132657065.90926875</v>
      </c>
      <c r="AK31" s="32">
        <f t="shared" si="50"/>
        <v>144239551.03370696</v>
      </c>
      <c r="AL31" s="169">
        <f t="shared" si="50"/>
        <v>156873204.47</v>
      </c>
      <c r="AM31" s="165">
        <f t="shared" si="50"/>
        <v>164379280.77000001</v>
      </c>
      <c r="AN31" s="33">
        <f t="shared" si="50"/>
        <v>132352052.41999999</v>
      </c>
      <c r="AO31" s="32">
        <f t="shared" si="50"/>
        <v>142387667.31999999</v>
      </c>
      <c r="AP31" s="169">
        <v>159737528.53</v>
      </c>
      <c r="AQ31" s="165">
        <v>177548437.97999999</v>
      </c>
      <c r="AR31" s="124">
        <v>150810844.47</v>
      </c>
      <c r="AS31" s="32">
        <v>134620425.38</v>
      </c>
      <c r="AT31" s="31">
        <v>144655345.81</v>
      </c>
      <c r="AU31" s="56">
        <v>151643464.43000001</v>
      </c>
      <c r="AV31" s="33">
        <v>118058577.06</v>
      </c>
      <c r="AW31" s="32">
        <v>102009833.33</v>
      </c>
      <c r="AX31" s="33">
        <v>112941052.94</v>
      </c>
      <c r="AY31" s="56">
        <v>133617498.59</v>
      </c>
      <c r="AZ31" s="33">
        <v>101922575.65000001</v>
      </c>
      <c r="BA31" s="32">
        <v>96152524.079999998</v>
      </c>
      <c r="BB31" s="33">
        <v>112323269.52</v>
      </c>
      <c r="BC31" s="32">
        <v>114807298.19</v>
      </c>
    </row>
    <row r="32" spans="1:55" ht="27.9" customHeight="1">
      <c r="A32" s="6" t="s">
        <v>45</v>
      </c>
      <c r="B32" s="33">
        <f>SUM(B17,B31)</f>
        <v>671455465.30999994</v>
      </c>
      <c r="C32" s="165">
        <f>SUM(C17,C31)</f>
        <v>719812958.4808439</v>
      </c>
      <c r="D32" s="33">
        <f>SUM(D17,D31)</f>
        <v>756866398.83515525</v>
      </c>
      <c r="E32" s="32">
        <f t="shared" ref="E32" si="51">SUM(E17,E31)</f>
        <v>582996665.63999999</v>
      </c>
      <c r="F32" s="33">
        <f t="shared" ref="F32" si="52">SUM(F17,F31)</f>
        <v>579554825.8900001</v>
      </c>
      <c r="G32" s="165">
        <f>SUM(G17,G31)+0.01</f>
        <v>574181845.89999998</v>
      </c>
      <c r="H32" s="33">
        <f>SUM(H17,H31)-0.01</f>
        <v>560300970.56577182</v>
      </c>
      <c r="I32" s="32">
        <f t="shared" ref="I32" si="53">SUM(I17,I31)</f>
        <v>468236234.26192808</v>
      </c>
      <c r="J32" s="33">
        <f t="shared" ref="J32" si="54">SUM(J17,J31)</f>
        <v>451700734.17999995</v>
      </c>
      <c r="K32" s="165">
        <f t="shared" ref="K32" si="55">SUM(K17,K31)</f>
        <v>452531276.51999998</v>
      </c>
      <c r="L32" s="33">
        <f t="shared" ref="L32" si="56">SUM(L17,L31)</f>
        <v>424396347.45000005</v>
      </c>
      <c r="M32" s="32">
        <f t="shared" ref="M32" si="57">SUM(M17,M31)</f>
        <v>437030375</v>
      </c>
      <c r="N32" s="33">
        <f t="shared" ref="N32" si="58">SUM(N17,N31)</f>
        <v>448941427.42999995</v>
      </c>
      <c r="O32" s="165">
        <f t="shared" ref="O32" si="59">SUM(O17,O31)</f>
        <v>466856490.96000004</v>
      </c>
      <c r="P32" s="33">
        <f t="shared" ref="P32" si="60">SUM(P17,P31)</f>
        <v>432327935.09000003</v>
      </c>
      <c r="Q32" s="32">
        <f t="shared" ref="Q32" si="61">SUM(Q17,Q31)</f>
        <v>411303573.00999999</v>
      </c>
      <c r="R32" s="33">
        <f t="shared" ref="R32" si="62">SUM(R17,R31)</f>
        <v>411212386.45999998</v>
      </c>
      <c r="S32" s="165">
        <f t="shared" ref="S32" si="63">SUM(S17,S31)</f>
        <v>436594242.93000001</v>
      </c>
      <c r="T32" s="33">
        <f t="shared" ref="T32:U32" si="64">SUM(T17,T31)</f>
        <v>418897783.13</v>
      </c>
      <c r="U32" s="32">
        <f t="shared" si="64"/>
        <v>392536297.02999997</v>
      </c>
      <c r="V32" s="33">
        <f t="shared" ref="V32:W32" si="65">SUM(V17,V31)</f>
        <v>419528307.20999998</v>
      </c>
      <c r="W32" s="165">
        <f t="shared" si="65"/>
        <v>437190327.37</v>
      </c>
      <c r="X32" s="33">
        <f t="shared" ref="X32:Z32" si="66">SUM(X17,X31)</f>
        <v>423916350.87</v>
      </c>
      <c r="Y32" s="32">
        <f t="shared" ref="Y32:AA32" si="67">SUM(Y17,Y31)</f>
        <v>395793572.68999994</v>
      </c>
      <c r="Z32" s="33">
        <f t="shared" si="66"/>
        <v>411654755.5</v>
      </c>
      <c r="AA32" s="165">
        <f t="shared" si="67"/>
        <v>406248925.44</v>
      </c>
      <c r="AB32" s="33">
        <f>SUM(AB17,AB31)</f>
        <v>396875415.19794476</v>
      </c>
      <c r="AC32" s="32">
        <f>SUM(AC17,AC31)</f>
        <v>393399096.81000006</v>
      </c>
      <c r="AD32" s="33">
        <f t="shared" ref="AD32:AE32" si="68">SUM(AD17,AD31)</f>
        <v>408414284.87809986</v>
      </c>
      <c r="AE32" s="165">
        <f t="shared" si="68"/>
        <v>411592033.93966138</v>
      </c>
      <c r="AF32" s="33">
        <f t="shared" ref="AF32" si="69">SUM(AF17,AF31)</f>
        <v>381565406.4691757</v>
      </c>
      <c r="AG32" s="32">
        <f t="shared" ref="AG32" si="70">SUM(AG17,AG31)</f>
        <v>382028593.51111114</v>
      </c>
      <c r="AH32" s="33">
        <f t="shared" ref="AH32" si="71">SUM(AH17,AH31)</f>
        <v>383189842.0968076</v>
      </c>
      <c r="AI32" s="165">
        <f t="shared" ref="AI32" si="72">SUM(AI17,AI31)</f>
        <v>386610914.87514675</v>
      </c>
      <c r="AJ32" s="33">
        <f t="shared" ref="AJ32:AO32" si="73">SUM(AJ17,AJ31)</f>
        <v>360910954.96056873</v>
      </c>
      <c r="AK32" s="32">
        <f t="shared" si="73"/>
        <v>370479304.82370698</v>
      </c>
      <c r="AL32" s="33">
        <f t="shared" si="73"/>
        <v>382531688.42000002</v>
      </c>
      <c r="AM32" s="165">
        <f t="shared" si="73"/>
        <v>389116830.48000002</v>
      </c>
      <c r="AN32" s="33">
        <f t="shared" si="73"/>
        <v>354877392.49000001</v>
      </c>
      <c r="AO32" s="32">
        <f t="shared" si="73"/>
        <v>357434193.40999997</v>
      </c>
      <c r="AP32" s="33">
        <v>364805086.13</v>
      </c>
      <c r="AQ32" s="165">
        <v>380992424.24000001</v>
      </c>
      <c r="AR32" s="124">
        <v>351151367.77999997</v>
      </c>
      <c r="AS32" s="32">
        <v>343204281.51999998</v>
      </c>
      <c r="AT32" s="31">
        <v>349891429.37</v>
      </c>
      <c r="AU32" s="56">
        <v>349282331.81</v>
      </c>
      <c r="AV32" s="33">
        <v>307448754.75</v>
      </c>
      <c r="AW32" s="32">
        <v>293979653.92000002</v>
      </c>
      <c r="AX32" s="33">
        <v>302888485.00999999</v>
      </c>
      <c r="AY32" s="56">
        <v>321698876.67000002</v>
      </c>
      <c r="AZ32" s="33">
        <v>292167224.08999997</v>
      </c>
      <c r="BA32" s="32">
        <v>283247704.67000002</v>
      </c>
      <c r="BB32" s="33">
        <v>299304796.69999999</v>
      </c>
      <c r="BC32" s="32">
        <v>302780126.38</v>
      </c>
    </row>
    <row r="33" spans="1:55" ht="27.9" customHeight="1">
      <c r="A33" s="7"/>
      <c r="B33" s="7"/>
      <c r="C33" s="163"/>
      <c r="D33" s="7"/>
      <c r="E33" s="29"/>
      <c r="F33" s="7"/>
      <c r="G33" s="163"/>
      <c r="H33" s="7"/>
      <c r="I33" s="29"/>
      <c r="J33" s="7"/>
      <c r="K33" s="163"/>
      <c r="L33" s="7"/>
      <c r="M33" s="29"/>
      <c r="N33" s="7"/>
      <c r="O33" s="163"/>
      <c r="P33" s="7"/>
      <c r="Q33" s="29"/>
      <c r="R33" s="7"/>
      <c r="S33" s="163"/>
      <c r="T33" s="7"/>
      <c r="U33" s="29"/>
      <c r="V33" s="7"/>
      <c r="W33" s="163"/>
      <c r="X33" s="30"/>
      <c r="Y33" s="29"/>
      <c r="Z33" s="30"/>
      <c r="AA33" s="163"/>
      <c r="AB33" s="13"/>
      <c r="AC33" s="36"/>
      <c r="AD33" s="30"/>
      <c r="AE33" s="163"/>
      <c r="AF33" s="30"/>
      <c r="AG33" s="36"/>
      <c r="AH33" s="30"/>
      <c r="AI33" s="163"/>
      <c r="AJ33" s="30"/>
      <c r="AK33" s="36"/>
      <c r="AL33" s="30"/>
      <c r="AM33" s="163"/>
      <c r="AN33" s="34"/>
      <c r="AO33" s="36"/>
      <c r="AP33" s="30"/>
      <c r="AQ33" s="163"/>
      <c r="AR33" s="121"/>
      <c r="AS33" s="36"/>
      <c r="AT33" s="26"/>
      <c r="AU33" s="86"/>
      <c r="AV33" s="8"/>
      <c r="AW33" s="27"/>
      <c r="AX33" s="8"/>
      <c r="AY33" s="86"/>
      <c r="AZ33" s="8"/>
      <c r="BA33" s="27"/>
      <c r="BB33" s="8"/>
      <c r="BC33" s="27"/>
    </row>
    <row r="34" spans="1:55" ht="27.9" customHeight="1">
      <c r="A34" s="6" t="s">
        <v>60</v>
      </c>
      <c r="B34" s="6"/>
      <c r="C34" s="163"/>
      <c r="D34" s="6"/>
      <c r="E34" s="29"/>
      <c r="F34" s="6"/>
      <c r="G34" s="163"/>
      <c r="H34" s="6"/>
      <c r="I34" s="29"/>
      <c r="J34" s="6"/>
      <c r="K34" s="163"/>
      <c r="L34" s="6"/>
      <c r="M34" s="29"/>
      <c r="N34" s="6"/>
      <c r="O34" s="163"/>
      <c r="P34" s="6"/>
      <c r="Q34" s="29"/>
      <c r="R34" s="6"/>
      <c r="S34" s="163"/>
      <c r="T34" s="6"/>
      <c r="U34" s="29"/>
      <c r="V34" s="6"/>
      <c r="W34" s="163"/>
      <c r="X34" s="33"/>
      <c r="Y34" s="29"/>
      <c r="Z34" s="33"/>
      <c r="AA34" s="163"/>
      <c r="AB34" s="6"/>
      <c r="AC34" s="27"/>
      <c r="AD34" s="33"/>
      <c r="AE34" s="163"/>
      <c r="AF34" s="33"/>
      <c r="AG34" s="27"/>
      <c r="AH34" s="33"/>
      <c r="AI34" s="163"/>
      <c r="AJ34" s="33"/>
      <c r="AK34" s="27"/>
      <c r="AL34" s="33"/>
      <c r="AM34" s="163"/>
      <c r="AN34" s="33"/>
      <c r="AO34" s="27"/>
      <c r="AP34" s="33"/>
      <c r="AQ34" s="163"/>
      <c r="AR34" s="121"/>
      <c r="AS34" s="27"/>
      <c r="AT34" s="26"/>
      <c r="AU34" s="86"/>
      <c r="AV34" s="8"/>
      <c r="AW34" s="27"/>
      <c r="AX34" s="8"/>
      <c r="AY34" s="86"/>
      <c r="AZ34" s="8"/>
      <c r="BA34" s="27"/>
      <c r="BB34" s="8"/>
      <c r="BC34" s="27"/>
    </row>
    <row r="35" spans="1:55" ht="27.9" customHeight="1">
      <c r="A35" s="10" t="s">
        <v>11</v>
      </c>
      <c r="B35" s="10"/>
      <c r="C35" s="163"/>
      <c r="D35" s="10"/>
      <c r="E35" s="29"/>
      <c r="F35" s="10"/>
      <c r="G35" s="163"/>
      <c r="H35" s="10"/>
      <c r="I35" s="29"/>
      <c r="J35" s="10"/>
      <c r="K35" s="163"/>
      <c r="L35" s="10"/>
      <c r="M35" s="29"/>
      <c r="N35" s="10"/>
      <c r="O35" s="163"/>
      <c r="P35" s="10"/>
      <c r="Q35" s="29"/>
      <c r="R35" s="10"/>
      <c r="S35" s="163"/>
      <c r="T35" s="10"/>
      <c r="U35" s="29"/>
      <c r="V35" s="10"/>
      <c r="W35" s="163"/>
      <c r="X35" s="169"/>
      <c r="Y35" s="29"/>
      <c r="Z35" s="169"/>
      <c r="AA35" s="163"/>
      <c r="AB35" s="10"/>
      <c r="AC35" s="27"/>
      <c r="AD35" s="169"/>
      <c r="AE35" s="163"/>
      <c r="AF35" s="169"/>
      <c r="AG35" s="27"/>
      <c r="AH35" s="169"/>
      <c r="AI35" s="163"/>
      <c r="AJ35" s="169"/>
      <c r="AK35" s="27"/>
      <c r="AL35" s="169"/>
      <c r="AM35" s="163"/>
      <c r="AN35" s="33"/>
      <c r="AO35" s="27"/>
      <c r="AP35" s="169"/>
      <c r="AQ35" s="163"/>
      <c r="AR35" s="121"/>
      <c r="AS35" s="27"/>
      <c r="AT35" s="26"/>
      <c r="AU35" s="86"/>
      <c r="AV35" s="8"/>
      <c r="AW35" s="27"/>
      <c r="AX35" s="8"/>
      <c r="AY35" s="86"/>
      <c r="AZ35" s="8"/>
      <c r="BA35" s="27"/>
      <c r="BB35" s="8"/>
      <c r="BC35" s="27"/>
    </row>
    <row r="36" spans="1:55" ht="27.9" customHeight="1">
      <c r="A36" s="7" t="s">
        <v>46</v>
      </c>
      <c r="B36" s="30">
        <v>30054000</v>
      </c>
      <c r="C36" s="163">
        <v>30054000</v>
      </c>
      <c r="D36" s="30">
        <v>30054000</v>
      </c>
      <c r="E36" s="29">
        <v>30054000</v>
      </c>
      <c r="F36" s="30">
        <v>30054000</v>
      </c>
      <c r="G36" s="163">
        <v>30054000</v>
      </c>
      <c r="H36" s="30">
        <v>30054000</v>
      </c>
      <c r="I36" s="29">
        <v>30054000</v>
      </c>
      <c r="J36" s="30">
        <v>30054000</v>
      </c>
      <c r="K36" s="163">
        <v>30054000</v>
      </c>
      <c r="L36" s="30">
        <v>30054000</v>
      </c>
      <c r="M36" s="29">
        <v>30054000</v>
      </c>
      <c r="N36" s="30">
        <v>30054000</v>
      </c>
      <c r="O36" s="163">
        <v>30054000</v>
      </c>
      <c r="P36" s="30">
        <v>30054000</v>
      </c>
      <c r="Q36" s="29">
        <v>30054000</v>
      </c>
      <c r="R36" s="30">
        <v>30054000</v>
      </c>
      <c r="S36" s="163">
        <v>30054000</v>
      </c>
      <c r="T36" s="30">
        <v>30054000</v>
      </c>
      <c r="U36" s="29">
        <v>30054000</v>
      </c>
      <c r="V36" s="30">
        <v>30054000</v>
      </c>
      <c r="W36" s="163">
        <v>30054000</v>
      </c>
      <c r="X36" s="30">
        <v>21854000</v>
      </c>
      <c r="Y36" s="29">
        <v>21854000</v>
      </c>
      <c r="Z36" s="30">
        <v>21854000</v>
      </c>
      <c r="AA36" s="163">
        <v>21854000</v>
      </c>
      <c r="AB36" s="30">
        <v>21854000</v>
      </c>
      <c r="AC36" s="29">
        <v>21854000</v>
      </c>
      <c r="AD36" s="30">
        <v>21854000</v>
      </c>
      <c r="AE36" s="163">
        <v>21854000</v>
      </c>
      <c r="AF36" s="30">
        <v>21854000</v>
      </c>
      <c r="AG36" s="29">
        <v>21854000</v>
      </c>
      <c r="AH36" s="30">
        <v>21854000</v>
      </c>
      <c r="AI36" s="163">
        <v>21854000</v>
      </c>
      <c r="AJ36" s="30">
        <v>21854000</v>
      </c>
      <c r="AK36" s="29">
        <v>21854000</v>
      </c>
      <c r="AL36" s="30">
        <v>21854000</v>
      </c>
      <c r="AM36" s="163">
        <v>21854000</v>
      </c>
      <c r="AN36" s="30">
        <v>21854000</v>
      </c>
      <c r="AO36" s="29">
        <v>21854000</v>
      </c>
      <c r="AP36" s="30">
        <v>21854000</v>
      </c>
      <c r="AQ36" s="163">
        <v>21854000</v>
      </c>
      <c r="AR36" s="123">
        <v>21854000</v>
      </c>
      <c r="AS36" s="29">
        <v>21854000</v>
      </c>
      <c r="AT36" s="28">
        <v>21854000</v>
      </c>
      <c r="AU36" s="55">
        <v>21854000</v>
      </c>
      <c r="AV36" s="30">
        <v>21854000</v>
      </c>
      <c r="AW36" s="29">
        <v>21854000</v>
      </c>
      <c r="AX36" s="30">
        <v>21854000</v>
      </c>
      <c r="AY36" s="55">
        <v>21854000</v>
      </c>
      <c r="AZ36" s="30">
        <v>21854000</v>
      </c>
      <c r="BA36" s="29">
        <v>21854000</v>
      </c>
      <c r="BB36" s="30">
        <v>21854000</v>
      </c>
      <c r="BC36" s="29">
        <v>21854000</v>
      </c>
    </row>
    <row r="37" spans="1:55" ht="27.9" customHeight="1">
      <c r="A37" s="7" t="s">
        <v>47</v>
      </c>
      <c r="B37" s="30">
        <v>3264793.34</v>
      </c>
      <c r="C37" s="163">
        <f>2783895.79+801946.71</f>
        <v>3585842.5</v>
      </c>
      <c r="D37" s="30">
        <f>2309902.43+652403.87</f>
        <v>2962306.3000000003</v>
      </c>
      <c r="E37" s="29">
        <v>2531756.75</v>
      </c>
      <c r="F37" s="30">
        <f>1746756.02+618603.05</f>
        <v>2365359.0700000003</v>
      </c>
      <c r="G37" s="163">
        <f>2660049.26+573042.43+0.01</f>
        <v>3233091.6999999997</v>
      </c>
      <c r="H37" s="30">
        <f>3286824.02+529053.22</f>
        <v>3815877.24</v>
      </c>
      <c r="I37" s="29">
        <v>2285716.94</v>
      </c>
      <c r="J37" s="30">
        <f>3398894.86+440842.04</f>
        <v>3839736.9</v>
      </c>
      <c r="K37" s="163">
        <f>2977385.25+347110.52</f>
        <v>3324495.77</v>
      </c>
      <c r="L37" s="30">
        <f>2413132.44+252370.76</f>
        <v>2665503.2000000002</v>
      </c>
      <c r="M37" s="29">
        <f>1081572.65-25415.85</f>
        <v>1056156.7999999998</v>
      </c>
      <c r="N37" s="30">
        <f>1237710.68+72381.58</f>
        <v>1310092.26</v>
      </c>
      <c r="O37" s="163">
        <f>1491975.05-75075.12</f>
        <v>1416899.9300000002</v>
      </c>
      <c r="P37" s="30">
        <f>1762580.63-84754.11</f>
        <v>1677826.5199999998</v>
      </c>
      <c r="Q37" s="29">
        <f>2028909.42-33615.76</f>
        <v>1995293.66</v>
      </c>
      <c r="R37" s="30">
        <v>2658090.0099999998</v>
      </c>
      <c r="S37" s="163">
        <v>1949210.03</v>
      </c>
      <c r="T37" s="30">
        <v>2100988.86</v>
      </c>
      <c r="U37" s="29">
        <f>1647793.1+189028.43</f>
        <v>1836821.53</v>
      </c>
      <c r="V37" s="30">
        <v>2341805.14</v>
      </c>
      <c r="W37" s="163">
        <f>1289101.12+113102.1</f>
        <v>1402203.2200000002</v>
      </c>
      <c r="X37" s="30">
        <f>1828076.04-41741.22</f>
        <v>1786334.82</v>
      </c>
      <c r="Y37" s="29">
        <f>1896710.83-81121.67</f>
        <v>1815589.1600000001</v>
      </c>
      <c r="Z37" s="30">
        <f>2029431.92-15034.23</f>
        <v>2014397.69</v>
      </c>
      <c r="AA37" s="163">
        <v>-811841.67</v>
      </c>
      <c r="AB37" s="30">
        <v>-76545.38</v>
      </c>
      <c r="AC37" s="29">
        <v>220323.47</v>
      </c>
      <c r="AD37" s="30">
        <v>126021.33</v>
      </c>
      <c r="AE37" s="163">
        <f>-143068.15+190943.09</f>
        <v>47874.94</v>
      </c>
      <c r="AF37" s="30">
        <f>-113359.15+197526.28</f>
        <v>84167.13</v>
      </c>
      <c r="AG37" s="29">
        <v>1057380.67</v>
      </c>
      <c r="AH37" s="30">
        <f>1523398.36+207300.5</f>
        <v>1730698.86</v>
      </c>
      <c r="AI37" s="163">
        <f>1253286.2+196872.26</f>
        <v>1450158.46</v>
      </c>
      <c r="AJ37" s="30">
        <f>1006407.01+226510.56</f>
        <v>1232917.57</v>
      </c>
      <c r="AK37" s="29">
        <v>895574.93</v>
      </c>
      <c r="AL37" s="30">
        <v>862826.9</v>
      </c>
      <c r="AM37" s="163">
        <v>672672.74</v>
      </c>
      <c r="AN37" s="30">
        <v>596217.72</v>
      </c>
      <c r="AO37" s="29">
        <v>629341.76</v>
      </c>
      <c r="AP37" s="30">
        <v>206404.34</v>
      </c>
      <c r="AQ37" s="163">
        <v>780086.9</v>
      </c>
      <c r="AR37" s="123">
        <v>692514.98</v>
      </c>
      <c r="AS37" s="29">
        <v>440359.99</v>
      </c>
      <c r="AT37" s="28">
        <v>371957.82</v>
      </c>
      <c r="AU37" s="55">
        <v>856388.09</v>
      </c>
      <c r="AV37" s="30">
        <v>-28132.28</v>
      </c>
      <c r="AW37" s="29">
        <v>-608937.79</v>
      </c>
      <c r="AX37" s="30">
        <v>-2856203.36</v>
      </c>
      <c r="AY37" s="55">
        <v>-3333930.74</v>
      </c>
      <c r="AZ37" s="30">
        <v>-2979617.5</v>
      </c>
      <c r="BA37" s="29">
        <v>-3222872.32</v>
      </c>
      <c r="BB37" s="30">
        <v>-3474664.72</v>
      </c>
      <c r="BC37" s="29">
        <v>-3885096.77</v>
      </c>
    </row>
    <row r="38" spans="1:55" ht="27.9" customHeight="1">
      <c r="A38" s="7" t="s">
        <v>48</v>
      </c>
      <c r="B38" s="30">
        <v>485930190.77999997</v>
      </c>
      <c r="C38" s="163">
        <f>334443395.08+106100000</f>
        <v>440543395.07999998</v>
      </c>
      <c r="D38" s="30">
        <f>322823443.32+106100000</f>
        <v>428923443.31999999</v>
      </c>
      <c r="E38" s="29">
        <v>402699260.80000001</v>
      </c>
      <c r="F38" s="30">
        <f>251987121.36+106100000</f>
        <v>358087121.36000001</v>
      </c>
      <c r="G38" s="163">
        <f>236930169.83+106100000</f>
        <v>343030169.83000004</v>
      </c>
      <c r="H38" s="30">
        <f>222027611.94+106100000</f>
        <v>328127611.94</v>
      </c>
      <c r="I38" s="29">
        <v>290879296.30000001</v>
      </c>
      <c r="J38" s="30">
        <f>180788685.07+106100000</f>
        <v>286888685.06999999</v>
      </c>
      <c r="K38" s="163">
        <f>179161527.25+106100000</f>
        <v>285261527.25</v>
      </c>
      <c r="L38" s="30">
        <f>176947059.48+106100000</f>
        <v>283047059.48000002</v>
      </c>
      <c r="M38" s="29">
        <f>181931804.9+106100000</f>
        <v>288031804.89999998</v>
      </c>
      <c r="N38" s="30">
        <f>179818247.1+106100000</f>
        <v>285918247.10000002</v>
      </c>
      <c r="O38" s="163">
        <f>167703409.51+106100000</f>
        <v>273803409.50999999</v>
      </c>
      <c r="P38" s="30">
        <f>156338170.51+106100000</f>
        <v>262438170.50999999</v>
      </c>
      <c r="Q38" s="29">
        <f>154105999.05+106100000</f>
        <v>260205999.05000001</v>
      </c>
      <c r="R38" s="30">
        <f>149080487.43+106100000</f>
        <v>255180487.43000001</v>
      </c>
      <c r="S38" s="163">
        <v>247303624.28999999</v>
      </c>
      <c r="T38" s="30">
        <v>238200360.02000001</v>
      </c>
      <c r="U38" s="29">
        <v>236275906.84999999</v>
      </c>
      <c r="V38" s="30">
        <v>232761110.19999999</v>
      </c>
      <c r="W38" s="163">
        <v>219209447.71000001</v>
      </c>
      <c r="X38" s="30">
        <v>215091980.18000001</v>
      </c>
      <c r="Y38" s="29">
        <v>210272506.63</v>
      </c>
      <c r="Z38" s="30">
        <f>210072393.21-0.01</f>
        <v>210072393.20000002</v>
      </c>
      <c r="AA38" s="163">
        <v>198359933.66</v>
      </c>
      <c r="AB38" s="30">
        <v>194486913.87</v>
      </c>
      <c r="AC38" s="29">
        <v>190263937.30000001</v>
      </c>
      <c r="AD38" s="30">
        <v>193932055.16609985</v>
      </c>
      <c r="AE38" s="163">
        <v>195114630.09686151</v>
      </c>
      <c r="AF38" s="30">
        <v>188740280.99837559</v>
      </c>
      <c r="AG38" s="29">
        <v>190631624.73031119</v>
      </c>
      <c r="AH38" s="30">
        <v>189762146.14200759</v>
      </c>
      <c r="AI38" s="163">
        <v>189111962.82634673</v>
      </c>
      <c r="AJ38" s="30">
        <v>185824989.58751196</v>
      </c>
      <c r="AK38" s="29">
        <v>180394752.74665028</v>
      </c>
      <c r="AL38" s="30">
        <v>183621037.63999999</v>
      </c>
      <c r="AM38" s="163">
        <v>177875090.44</v>
      </c>
      <c r="AN38" s="30">
        <v>175552114.88999999</v>
      </c>
      <c r="AO38" s="29">
        <v>177337970.72999999</v>
      </c>
      <c r="AP38" s="30">
        <v>183966598.66999999</v>
      </c>
      <c r="AQ38" s="163">
        <v>177017543.43000001</v>
      </c>
      <c r="AR38" s="123">
        <v>174494295.22999999</v>
      </c>
      <c r="AS38" s="29">
        <v>176269446.06999999</v>
      </c>
      <c r="AT38" s="28">
        <v>177442721.83000001</v>
      </c>
      <c r="AU38" s="55">
        <v>167982550.11000001</v>
      </c>
      <c r="AV38" s="30">
        <v>163136347.63</v>
      </c>
      <c r="AW38" s="29">
        <v>167145836.38999999</v>
      </c>
      <c r="AX38" s="30">
        <v>168534444.34999999</v>
      </c>
      <c r="AY38" s="55">
        <v>163750711.25999999</v>
      </c>
      <c r="AZ38" s="30">
        <v>160252357.78</v>
      </c>
      <c r="BA38" s="29">
        <v>158068429.68000001</v>
      </c>
      <c r="BB38" s="30">
        <v>159551316.80000001</v>
      </c>
      <c r="BC38" s="29">
        <v>157444375.97999999</v>
      </c>
    </row>
    <row r="39" spans="1:55" s="177" customFormat="1" ht="27.9" customHeight="1">
      <c r="A39" s="10" t="s">
        <v>173</v>
      </c>
      <c r="B39" s="169">
        <f>SUM(B36:B38)</f>
        <v>519248984.11999995</v>
      </c>
      <c r="C39" s="172">
        <f>SUM(C36:C38)</f>
        <v>474183237.57999998</v>
      </c>
      <c r="D39" s="169">
        <f t="shared" ref="D39" si="74">SUM(D36:D38)</f>
        <v>461939749.62</v>
      </c>
      <c r="E39" s="174">
        <f>SUM(E36:E38)</f>
        <v>435285017.55000001</v>
      </c>
      <c r="F39" s="169">
        <f>SUM(F36:F38)</f>
        <v>390506480.43000001</v>
      </c>
      <c r="G39" s="172">
        <f>SUM(G36:G38)</f>
        <v>376317261.53000003</v>
      </c>
      <c r="H39" s="169">
        <f t="shared" ref="H39" si="75">SUM(H36:H38)</f>
        <v>361997489.18000001</v>
      </c>
      <c r="I39" s="174">
        <f>SUM(I36:I38)</f>
        <v>323219013.24000001</v>
      </c>
      <c r="J39" s="169">
        <f>SUM(J36:J38)</f>
        <v>320782421.96999997</v>
      </c>
      <c r="K39" s="172">
        <f>SUM(K36:K38)</f>
        <v>318640023.01999998</v>
      </c>
      <c r="L39" s="169">
        <f t="shared" ref="L39" si="76">SUM(L36:L38)</f>
        <v>315766562.68000001</v>
      </c>
      <c r="M39" s="174">
        <f>SUM(M36:M38)</f>
        <v>319141961.69999999</v>
      </c>
      <c r="N39" s="169">
        <f>SUM(N36:N38)</f>
        <v>317282339.36000001</v>
      </c>
      <c r="O39" s="172">
        <f>SUM(O36:O38)</f>
        <v>305274309.44</v>
      </c>
      <c r="P39" s="169">
        <f t="shared" ref="P39" si="77">SUM(P36:P38)</f>
        <v>294169997.02999997</v>
      </c>
      <c r="Q39" s="174">
        <f t="shared" ref="Q39" si="78">SUM(Q36:Q38)</f>
        <v>292255292.71000004</v>
      </c>
      <c r="R39" s="169">
        <f t="shared" ref="R39:W39" si="79">SUM(R36:R38)</f>
        <v>287892577.44</v>
      </c>
      <c r="S39" s="172">
        <f t="shared" si="79"/>
        <v>279306834.31999999</v>
      </c>
      <c r="T39" s="169">
        <f t="shared" si="79"/>
        <v>270355348.88</v>
      </c>
      <c r="U39" s="174">
        <f t="shared" si="79"/>
        <v>268166728.38</v>
      </c>
      <c r="V39" s="169">
        <f t="shared" si="79"/>
        <v>265156915.33999997</v>
      </c>
      <c r="W39" s="172">
        <f t="shared" si="79"/>
        <v>250665650.93000001</v>
      </c>
      <c r="X39" s="169">
        <f t="shared" ref="X39:Z39" si="80">SUM(X36:X38)</f>
        <v>238732315</v>
      </c>
      <c r="Y39" s="174">
        <f>SUM(Y36:Y38)</f>
        <v>233942095.78999999</v>
      </c>
      <c r="Z39" s="169">
        <f t="shared" si="80"/>
        <v>233940790.89000002</v>
      </c>
      <c r="AA39" s="172">
        <f t="shared" ref="AA39" si="81">SUM(AA36:AA38)</f>
        <v>219402091.99000001</v>
      </c>
      <c r="AB39" s="169">
        <f>SUM(AB36:AB38)</f>
        <v>216264368.49000001</v>
      </c>
      <c r="AC39" s="174">
        <f t="shared" ref="AC39:AE39" si="82">SUM(AC36:AC38)</f>
        <v>212338260.77000001</v>
      </c>
      <c r="AD39" s="169">
        <f t="shared" si="82"/>
        <v>215912076.49609983</v>
      </c>
      <c r="AE39" s="172">
        <f t="shared" si="82"/>
        <v>217016505.03686151</v>
      </c>
      <c r="AF39" s="169">
        <f t="shared" ref="AF39" si="83">SUM(AF36:AF38)</f>
        <v>210678448.12837559</v>
      </c>
      <c r="AG39" s="174">
        <f t="shared" ref="AG39" si="84">SUM(AG36:AG38)</f>
        <v>213543005.40031117</v>
      </c>
      <c r="AH39" s="169">
        <f t="shared" ref="AH39" si="85">SUM(AH36:AH38)</f>
        <v>213346845.0020076</v>
      </c>
      <c r="AI39" s="172">
        <f t="shared" ref="AI39" si="86">SUM(AI36:AI38)</f>
        <v>212416121.28634673</v>
      </c>
      <c r="AJ39" s="169">
        <f t="shared" ref="AJ39:AO39" si="87">SUM(AJ36:AJ38)</f>
        <v>208911907.15751195</v>
      </c>
      <c r="AK39" s="174">
        <f t="shared" si="87"/>
        <v>203144327.67665029</v>
      </c>
      <c r="AL39" s="169">
        <f t="shared" si="87"/>
        <v>206337864.53999999</v>
      </c>
      <c r="AM39" s="172">
        <f t="shared" si="87"/>
        <v>200401763.18000001</v>
      </c>
      <c r="AN39" s="33">
        <f t="shared" si="87"/>
        <v>198002332.60999998</v>
      </c>
      <c r="AO39" s="174">
        <f t="shared" si="87"/>
        <v>199821312.48999998</v>
      </c>
      <c r="AP39" s="169">
        <v>206027003.00999999</v>
      </c>
      <c r="AQ39" s="172">
        <v>199651630.33000001</v>
      </c>
      <c r="AR39" s="173">
        <v>197040810.21000001</v>
      </c>
      <c r="AS39" s="174">
        <v>198563806.06</v>
      </c>
      <c r="AT39" s="175">
        <v>199668679.65000001</v>
      </c>
      <c r="AU39" s="176">
        <v>190692938.19999999</v>
      </c>
      <c r="AV39" s="169">
        <v>184962215.34999999</v>
      </c>
      <c r="AW39" s="174">
        <v>188390898.59999999</v>
      </c>
      <c r="AX39" s="169">
        <v>187532240.99000001</v>
      </c>
      <c r="AY39" s="176">
        <v>182270780.52000001</v>
      </c>
      <c r="AZ39" s="169">
        <v>179126740.28</v>
      </c>
      <c r="BA39" s="174">
        <v>176699557.36000001</v>
      </c>
      <c r="BB39" s="169">
        <v>177930652.08000001</v>
      </c>
      <c r="BC39" s="174">
        <v>175413279.21000001</v>
      </c>
    </row>
    <row r="40" spans="1:55" ht="27.9" customHeight="1">
      <c r="A40" s="7" t="s">
        <v>174</v>
      </c>
      <c r="B40" s="30">
        <v>843693.18</v>
      </c>
      <c r="C40" s="163">
        <v>830536.01</v>
      </c>
      <c r="D40" s="30">
        <v>866967.21</v>
      </c>
      <c r="E40" s="29">
        <v>904387.04</v>
      </c>
      <c r="F40" s="30">
        <v>950926.41</v>
      </c>
      <c r="G40" s="163">
        <v>947665.59</v>
      </c>
      <c r="H40" s="30">
        <v>940106.23999999999</v>
      </c>
      <c r="I40" s="29">
        <f>1067796.57-0.01</f>
        <v>1067796.56</v>
      </c>
      <c r="J40" s="30">
        <v>1062662.19</v>
      </c>
      <c r="K40" s="163">
        <v>1121877.48</v>
      </c>
      <c r="L40" s="30">
        <v>1145239.21</v>
      </c>
      <c r="M40" s="29">
        <v>1186943.8999999999</v>
      </c>
      <c r="N40" s="30">
        <v>1137392.58</v>
      </c>
      <c r="O40" s="163">
        <f>925560.98+0.01</f>
        <v>925560.99</v>
      </c>
      <c r="P40" s="30">
        <v>898658.96</v>
      </c>
      <c r="Q40" s="29">
        <v>1025365.66</v>
      </c>
      <c r="R40" s="30">
        <v>1008600.65</v>
      </c>
      <c r="S40" s="163">
        <v>1005085.67</v>
      </c>
      <c r="T40" s="30">
        <v>982096.08</v>
      </c>
      <c r="U40" s="29">
        <v>1268058.9099999999</v>
      </c>
      <c r="V40" s="30">
        <v>1302669.51</v>
      </c>
      <c r="W40" s="163">
        <v>1309014.8500000001</v>
      </c>
      <c r="X40" s="30">
        <v>1172335.52</v>
      </c>
      <c r="Y40" s="29">
        <v>1517336.72</v>
      </c>
      <c r="Z40" s="30">
        <v>1519702.64</v>
      </c>
      <c r="AA40" s="163">
        <v>1508307.77</v>
      </c>
      <c r="AB40" s="30">
        <v>1499363.8</v>
      </c>
      <c r="AC40" s="29">
        <v>1524816.07</v>
      </c>
      <c r="AD40" s="30">
        <v>926695.81200000038</v>
      </c>
      <c r="AE40" s="163">
        <v>1114414.3428000004</v>
      </c>
      <c r="AF40" s="30">
        <v>1227180.0708000003</v>
      </c>
      <c r="AG40" s="29">
        <v>1370816.3008000008</v>
      </c>
      <c r="AH40" s="30">
        <v>1488269.4148000001</v>
      </c>
      <c r="AI40" s="163">
        <v>1698604.4688000006</v>
      </c>
      <c r="AJ40" s="30">
        <v>1848893.0558567364</v>
      </c>
      <c r="AK40" s="29">
        <v>2476419.5570567362</v>
      </c>
      <c r="AL40" s="30">
        <v>2557512.67</v>
      </c>
      <c r="AM40" s="163">
        <v>2492781.54</v>
      </c>
      <c r="AN40" s="30">
        <v>2607026.75</v>
      </c>
      <c r="AO40" s="29">
        <v>2623586.06</v>
      </c>
      <c r="AP40" s="30">
        <v>2885830.19</v>
      </c>
      <c r="AQ40" s="163">
        <v>2964184.33</v>
      </c>
      <c r="AR40" s="123">
        <v>2953687.95</v>
      </c>
      <c r="AS40" s="29">
        <v>-78585.63</v>
      </c>
      <c r="AT40" s="28">
        <v>-72762.45</v>
      </c>
      <c r="AU40" s="55">
        <v>-29558.27</v>
      </c>
      <c r="AV40" s="30">
        <v>-11027.02</v>
      </c>
      <c r="AW40" s="29"/>
      <c r="AX40" s="30"/>
      <c r="AY40" s="55"/>
      <c r="AZ40" s="30"/>
      <c r="BA40" s="29"/>
      <c r="BB40" s="30"/>
      <c r="BC40" s="29"/>
    </row>
    <row r="41" spans="1:55" ht="27.9" customHeight="1">
      <c r="A41" s="10" t="s">
        <v>49</v>
      </c>
      <c r="B41" s="169">
        <f>SUM(B39:B40)</f>
        <v>520092677.29999995</v>
      </c>
      <c r="C41" s="165">
        <f t="shared" ref="C41" si="88">SUM(C39:C40)</f>
        <v>475013773.58999997</v>
      </c>
      <c r="D41" s="169">
        <f t="shared" ref="D41" si="89">SUM(D39:D40)</f>
        <v>462806716.82999998</v>
      </c>
      <c r="E41" s="32">
        <f>SUM(E39:E40)</f>
        <v>436189404.59000003</v>
      </c>
      <c r="F41" s="169">
        <f t="shared" ref="F41" si="90">SUM(F39:F40)</f>
        <v>391457406.84000003</v>
      </c>
      <c r="G41" s="165">
        <f t="shared" ref="G41" si="91">SUM(G39:G40)</f>
        <v>377264927.12</v>
      </c>
      <c r="H41" s="169">
        <f t="shared" ref="H41" si="92">SUM(H39:H40)</f>
        <v>362937595.42000002</v>
      </c>
      <c r="I41" s="32">
        <f>SUM(I39:I40)</f>
        <v>324286809.80000001</v>
      </c>
      <c r="J41" s="169">
        <f t="shared" ref="J41" si="93">SUM(J39:J40)</f>
        <v>321845084.15999997</v>
      </c>
      <c r="K41" s="165">
        <f t="shared" ref="K41" si="94">SUM(K39:K40)</f>
        <v>319761900.5</v>
      </c>
      <c r="L41" s="169">
        <f t="shared" ref="L41" si="95">SUM(L39:L40)</f>
        <v>316911801.88999999</v>
      </c>
      <c r="M41" s="32">
        <f t="shared" ref="M41" si="96">SUM(M39:M40)</f>
        <v>320328905.59999996</v>
      </c>
      <c r="N41" s="169">
        <f t="shared" ref="N41" si="97">SUM(N39:N40)</f>
        <v>318419731.94</v>
      </c>
      <c r="O41" s="165">
        <f t="shared" ref="O41" si="98">SUM(O39:O40)</f>
        <v>306199870.43000001</v>
      </c>
      <c r="P41" s="169">
        <f t="shared" ref="P41" si="99">SUM(P39:P40)</f>
        <v>295068655.98999995</v>
      </c>
      <c r="Q41" s="32">
        <f t="shared" ref="Q41" si="100">SUM(Q39:Q40)</f>
        <v>293280658.37000006</v>
      </c>
      <c r="R41" s="169">
        <f t="shared" ref="R41" si="101">SUM(R39:R40)</f>
        <v>288901178.08999997</v>
      </c>
      <c r="S41" s="165">
        <f t="shared" ref="S41" si="102">SUM(S39:S40)</f>
        <v>280311919.99000001</v>
      </c>
      <c r="T41" s="169">
        <f t="shared" ref="T41:U41" si="103">SUM(T39:T40)</f>
        <v>271337444.95999998</v>
      </c>
      <c r="U41" s="32">
        <f t="shared" si="103"/>
        <v>269434787.29000002</v>
      </c>
      <c r="V41" s="169">
        <f t="shared" ref="V41:W41" si="104">SUM(V39:V40)</f>
        <v>266459584.84999996</v>
      </c>
      <c r="W41" s="165">
        <f t="shared" si="104"/>
        <v>251974665.78</v>
      </c>
      <c r="X41" s="169">
        <f t="shared" ref="X41:Z41" si="105">SUM(X39:X40)</f>
        <v>239904650.52000001</v>
      </c>
      <c r="Y41" s="32">
        <f t="shared" ref="Y41:AA41" si="106">SUM(Y39:Y40)</f>
        <v>235459432.50999999</v>
      </c>
      <c r="Z41" s="169">
        <f t="shared" si="105"/>
        <v>235460493.53</v>
      </c>
      <c r="AA41" s="165">
        <f t="shared" si="106"/>
        <v>220910399.76000002</v>
      </c>
      <c r="AB41" s="169">
        <f>SUM(AB39:AB40)</f>
        <v>217763732.29000002</v>
      </c>
      <c r="AC41" s="32">
        <f t="shared" ref="AC41:AE41" si="107">SUM(AC39:AC40)</f>
        <v>213863076.84</v>
      </c>
      <c r="AD41" s="169">
        <f t="shared" si="107"/>
        <v>216838772.30809984</v>
      </c>
      <c r="AE41" s="165">
        <f t="shared" si="107"/>
        <v>218130919.3796615</v>
      </c>
      <c r="AF41" s="169">
        <f t="shared" ref="AF41" si="108">SUM(AF39:AF40)</f>
        <v>211905628.1991756</v>
      </c>
      <c r="AG41" s="32">
        <f t="shared" ref="AG41" si="109">SUM(AG39:AG40)</f>
        <v>214913821.70111117</v>
      </c>
      <c r="AH41" s="169">
        <f t="shared" ref="AH41" si="110">SUM(AH39:AH40)</f>
        <v>214835114.41680759</v>
      </c>
      <c r="AI41" s="165">
        <f t="shared" ref="AI41" si="111">SUM(AI39:AI40)</f>
        <v>214114725.75514674</v>
      </c>
      <c r="AJ41" s="169">
        <f t="shared" ref="AJ41:AO41" si="112">SUM(AJ39:AJ40)</f>
        <v>210760800.21336868</v>
      </c>
      <c r="AK41" s="32">
        <f t="shared" si="112"/>
        <v>205620747.23370701</v>
      </c>
      <c r="AL41" s="169">
        <f t="shared" si="112"/>
        <v>208895377.20999998</v>
      </c>
      <c r="AM41" s="165">
        <f t="shared" si="112"/>
        <v>202894544.72</v>
      </c>
      <c r="AN41" s="33">
        <f t="shared" si="112"/>
        <v>200609359.35999998</v>
      </c>
      <c r="AO41" s="32">
        <f t="shared" si="112"/>
        <v>202444898.54999998</v>
      </c>
      <c r="AP41" s="169">
        <v>208912833.19999999</v>
      </c>
      <c r="AQ41" s="165">
        <v>202615814.66</v>
      </c>
      <c r="AR41" s="124">
        <v>199994498.16</v>
      </c>
      <c r="AS41" s="32">
        <v>198485220.43000001</v>
      </c>
      <c r="AT41" s="31">
        <v>199595917.19999999</v>
      </c>
      <c r="AU41" s="56">
        <v>190663379.93000001</v>
      </c>
      <c r="AV41" s="33">
        <v>184951188.33000001</v>
      </c>
      <c r="AW41" s="32">
        <v>188390898.59999999</v>
      </c>
      <c r="AX41" s="33">
        <v>187532240.99000001</v>
      </c>
      <c r="AY41" s="56">
        <v>182270780.52000001</v>
      </c>
      <c r="AZ41" s="33">
        <v>179126740.28</v>
      </c>
      <c r="BA41" s="32">
        <v>176699557.36000001</v>
      </c>
      <c r="BB41" s="33">
        <v>177930652.08000001</v>
      </c>
      <c r="BC41" s="32">
        <v>175413279.21000001</v>
      </c>
    </row>
    <row r="42" spans="1:55" ht="27.9" customHeight="1">
      <c r="A42" s="7"/>
      <c r="B42" s="30"/>
      <c r="C42" s="163"/>
      <c r="D42" s="30"/>
      <c r="E42" s="29"/>
      <c r="F42" s="30"/>
      <c r="G42" s="163"/>
      <c r="H42" s="30"/>
      <c r="I42" s="29"/>
      <c r="J42" s="30"/>
      <c r="K42" s="163"/>
      <c r="L42" s="30"/>
      <c r="M42" s="29"/>
      <c r="N42" s="30"/>
      <c r="O42" s="163"/>
      <c r="P42" s="30"/>
      <c r="Q42" s="29"/>
      <c r="R42" s="30"/>
      <c r="S42" s="163"/>
      <c r="T42" s="30"/>
      <c r="U42" s="29"/>
      <c r="V42" s="30"/>
      <c r="W42" s="163"/>
      <c r="X42" s="30"/>
      <c r="Y42" s="29"/>
      <c r="Z42" s="30"/>
      <c r="AA42" s="163"/>
      <c r="AB42" s="30"/>
      <c r="AC42" s="29"/>
      <c r="AD42" s="30"/>
      <c r="AE42" s="163"/>
      <c r="AF42" s="30"/>
      <c r="AG42" s="29"/>
      <c r="AH42" s="30"/>
      <c r="AI42" s="163"/>
      <c r="AJ42" s="30"/>
      <c r="AK42" s="29"/>
      <c r="AL42" s="30"/>
      <c r="AM42" s="163"/>
      <c r="AN42" s="30"/>
      <c r="AO42" s="29"/>
      <c r="AP42" s="30"/>
      <c r="AQ42" s="163"/>
      <c r="AR42" s="120"/>
      <c r="AS42" s="29"/>
      <c r="AT42" s="28"/>
      <c r="AU42" s="55"/>
      <c r="AV42" s="30"/>
      <c r="AW42" s="29"/>
      <c r="AX42" s="30"/>
      <c r="AY42" s="55"/>
      <c r="AZ42" s="30"/>
      <c r="BA42" s="29"/>
      <c r="BB42" s="30"/>
      <c r="BC42" s="29"/>
    </row>
    <row r="43" spans="1:55" ht="27.9" customHeight="1">
      <c r="A43" s="10" t="s">
        <v>50</v>
      </c>
      <c r="B43" s="169"/>
      <c r="C43" s="163"/>
      <c r="D43" s="169"/>
      <c r="E43" s="29"/>
      <c r="F43" s="169"/>
      <c r="G43" s="163"/>
      <c r="H43" s="169"/>
      <c r="I43" s="29"/>
      <c r="J43" s="169"/>
      <c r="K43" s="163"/>
      <c r="L43" s="169"/>
      <c r="M43" s="29"/>
      <c r="N43" s="169"/>
      <c r="O43" s="163"/>
      <c r="P43" s="169"/>
      <c r="Q43" s="29"/>
      <c r="R43" s="169"/>
      <c r="S43" s="163"/>
      <c r="T43" s="169"/>
      <c r="U43" s="29"/>
      <c r="V43" s="169"/>
      <c r="W43" s="163"/>
      <c r="X43" s="169"/>
      <c r="Y43" s="29"/>
      <c r="Z43" s="169"/>
      <c r="AA43" s="163"/>
      <c r="AB43" s="169"/>
      <c r="AC43" s="29"/>
      <c r="AD43" s="169"/>
      <c r="AE43" s="163"/>
      <c r="AF43" s="169"/>
      <c r="AG43" s="29"/>
      <c r="AH43" s="169"/>
      <c r="AI43" s="163"/>
      <c r="AJ43" s="169"/>
      <c r="AK43" s="29"/>
      <c r="AL43" s="169"/>
      <c r="AM43" s="163"/>
      <c r="AN43" s="33"/>
      <c r="AO43" s="29"/>
      <c r="AP43" s="169"/>
      <c r="AQ43" s="163"/>
      <c r="AR43" s="120"/>
      <c r="AS43" s="29"/>
      <c r="AT43" s="28"/>
      <c r="AU43" s="55"/>
      <c r="AV43" s="30"/>
      <c r="AW43" s="29"/>
      <c r="AX43" s="30"/>
      <c r="AY43" s="55"/>
      <c r="AZ43" s="30"/>
      <c r="BA43" s="29"/>
      <c r="BB43" s="30"/>
      <c r="BC43" s="29"/>
    </row>
    <row r="44" spans="1:55" ht="27.9" customHeight="1">
      <c r="A44" s="10" t="s">
        <v>12</v>
      </c>
      <c r="B44" s="169"/>
      <c r="C44" s="163"/>
      <c r="D44" s="169"/>
      <c r="E44" s="29"/>
      <c r="F44" s="169"/>
      <c r="G44" s="163"/>
      <c r="H44" s="169"/>
      <c r="I44" s="29"/>
      <c r="J44" s="169"/>
      <c r="K44" s="163"/>
      <c r="L44" s="169"/>
      <c r="M44" s="29"/>
      <c r="N44" s="169"/>
      <c r="O44" s="163"/>
      <c r="P44" s="169"/>
      <c r="Q44" s="29"/>
      <c r="R44" s="169"/>
      <c r="S44" s="163"/>
      <c r="T44" s="169"/>
      <c r="U44" s="29"/>
      <c r="V44" s="169"/>
      <c r="W44" s="163"/>
      <c r="X44" s="169"/>
      <c r="Y44" s="29"/>
      <c r="Z44" s="169"/>
      <c r="AA44" s="163"/>
      <c r="AB44" s="169"/>
      <c r="AC44" s="35"/>
      <c r="AD44" s="169"/>
      <c r="AE44" s="163"/>
      <c r="AF44" s="169"/>
      <c r="AG44" s="35"/>
      <c r="AH44" s="169"/>
      <c r="AI44" s="163"/>
      <c r="AJ44" s="169"/>
      <c r="AK44" s="35"/>
      <c r="AL44" s="169"/>
      <c r="AM44" s="163"/>
      <c r="AN44" s="170"/>
      <c r="AO44" s="35"/>
      <c r="AP44" s="169"/>
      <c r="AQ44" s="163"/>
      <c r="AR44" s="120"/>
      <c r="AS44" s="35"/>
      <c r="AT44" s="34"/>
      <c r="AU44" s="87"/>
      <c r="AV44" s="34"/>
      <c r="AW44" s="35"/>
      <c r="AX44" s="34"/>
      <c r="AY44" s="87"/>
      <c r="AZ44" s="34"/>
      <c r="BA44" s="35"/>
      <c r="BB44" s="34"/>
      <c r="BC44" s="29"/>
    </row>
    <row r="45" spans="1:55" ht="27.9" customHeight="1">
      <c r="A45" s="7" t="s">
        <v>223</v>
      </c>
      <c r="B45" s="30">
        <v>2265956.98</v>
      </c>
      <c r="C45" s="163">
        <v>2539795.9988559997</v>
      </c>
      <c r="D45" s="30">
        <v>2894009.7229479998</v>
      </c>
      <c r="E45" s="29">
        <v>3177837.28</v>
      </c>
      <c r="F45" s="30">
        <v>9394102.2699999996</v>
      </c>
      <c r="G45" s="163">
        <v>9869055.1099999994</v>
      </c>
      <c r="H45" s="30">
        <v>11011805.9</v>
      </c>
      <c r="I45" s="29">
        <v>13637773.428337999</v>
      </c>
      <c r="J45" s="30">
        <v>13984584.58</v>
      </c>
      <c r="K45" s="163">
        <v>13336837.859999999</v>
      </c>
      <c r="L45" s="30">
        <v>12670997.560000001</v>
      </c>
      <c r="M45" s="29">
        <v>13879470.01</v>
      </c>
      <c r="N45" s="30">
        <v>13622508.529999999</v>
      </c>
      <c r="O45" s="163">
        <v>13978767.73</v>
      </c>
      <c r="P45" s="30">
        <v>14949623.689999999</v>
      </c>
      <c r="Q45" s="29">
        <v>17547323.449999999</v>
      </c>
      <c r="R45" s="30">
        <v>17955444.539999999</v>
      </c>
      <c r="S45" s="163">
        <v>18682214.579999998</v>
      </c>
      <c r="T45" s="30">
        <v>18918836.789999999</v>
      </c>
      <c r="U45" s="29">
        <v>20379309.93</v>
      </c>
      <c r="V45" s="30">
        <v>24849497.68</v>
      </c>
      <c r="W45" s="163">
        <v>25616783.109999999</v>
      </c>
      <c r="X45" s="30">
        <v>26460832.09</v>
      </c>
      <c r="Y45" s="29">
        <v>27874214.710000001</v>
      </c>
      <c r="Z45" s="30">
        <v>29019530.219999999</v>
      </c>
      <c r="AA45" s="163">
        <v>27799383.899999999</v>
      </c>
      <c r="AB45" s="30">
        <v>25219939.945555001</v>
      </c>
      <c r="AC45" s="29">
        <v>27036391.989999998</v>
      </c>
      <c r="AD45" s="30">
        <v>24487585.84</v>
      </c>
      <c r="AE45" s="163">
        <v>23996249.910000004</v>
      </c>
      <c r="AF45" s="30">
        <v>19118730.109999999</v>
      </c>
      <c r="AG45" s="29">
        <v>19381057.32</v>
      </c>
      <c r="AH45" s="30">
        <v>18746526.459999997</v>
      </c>
      <c r="AI45" s="163">
        <v>20098570.249999996</v>
      </c>
      <c r="AJ45" s="30">
        <v>22750760.189999998</v>
      </c>
      <c r="AK45" s="29">
        <v>25085281.820000004</v>
      </c>
      <c r="AL45" s="30">
        <v>30116352.309999999</v>
      </c>
      <c r="AM45" s="163">
        <v>28005746.510000002</v>
      </c>
      <c r="AN45" s="30">
        <v>30152220.030000001</v>
      </c>
      <c r="AO45" s="29">
        <v>38220031.840000004</v>
      </c>
      <c r="AP45" s="30">
        <v>35130886.57</v>
      </c>
      <c r="AQ45" s="163">
        <v>33660905.659999996</v>
      </c>
      <c r="AR45" s="123">
        <v>31335311.030000001</v>
      </c>
      <c r="AS45" s="29">
        <v>35529745.030000001</v>
      </c>
      <c r="AT45" s="28">
        <v>34084031.409999996</v>
      </c>
      <c r="AU45" s="55">
        <v>36515063.920000002</v>
      </c>
      <c r="AV45" s="30">
        <v>31229464.91</v>
      </c>
      <c r="AW45" s="29">
        <v>15080161.390000001</v>
      </c>
      <c r="AX45" s="30">
        <v>15319259.6</v>
      </c>
      <c r="AY45" s="55">
        <v>17027988.530000001</v>
      </c>
      <c r="AZ45" s="30">
        <v>16612658.199999999</v>
      </c>
      <c r="BA45" s="29">
        <v>20100589.289999999</v>
      </c>
      <c r="BB45" s="30">
        <v>20584820.129999999</v>
      </c>
      <c r="BC45" s="29">
        <v>24836416.899999999</v>
      </c>
    </row>
    <row r="46" spans="1:55" ht="27.9" customHeight="1">
      <c r="A46" s="7" t="s">
        <v>51</v>
      </c>
      <c r="B46" s="30">
        <v>9832624.5999999996</v>
      </c>
      <c r="C46" s="163">
        <v>10061965.190000001</v>
      </c>
      <c r="D46" s="30">
        <v>10315792.119999999</v>
      </c>
      <c r="E46" s="29">
        <v>10016824.99</v>
      </c>
      <c r="F46" s="30">
        <v>10189389.050000001</v>
      </c>
      <c r="G46" s="163">
        <v>9611656.5299999993</v>
      </c>
      <c r="H46" s="30">
        <v>9696859.7599999998</v>
      </c>
      <c r="I46" s="29">
        <v>9627043.1399999987</v>
      </c>
      <c r="J46" s="30">
        <v>9357570.6600000001</v>
      </c>
      <c r="K46" s="163">
        <v>9602181.0700000003</v>
      </c>
      <c r="L46" s="30">
        <v>9851672.6699999999</v>
      </c>
      <c r="M46" s="29">
        <v>9145685.1099999994</v>
      </c>
      <c r="N46" s="30">
        <v>9694153.9000000004</v>
      </c>
      <c r="O46" s="163">
        <v>10248346.73</v>
      </c>
      <c r="P46" s="30">
        <v>10430007.59</v>
      </c>
      <c r="Q46" s="29">
        <v>10657227.449999999</v>
      </c>
      <c r="R46" s="30">
        <v>10064154.15</v>
      </c>
      <c r="S46" s="163">
        <v>9684870.1799999997</v>
      </c>
      <c r="T46" s="30">
        <v>9420622</v>
      </c>
      <c r="U46" s="29">
        <v>9144160.0199999996</v>
      </c>
      <c r="V46" s="30">
        <v>8587416.3200000003</v>
      </c>
      <c r="W46" s="163">
        <v>8330441.54</v>
      </c>
      <c r="X46" s="30">
        <v>8525346.8100000005</v>
      </c>
      <c r="Y46" s="29">
        <v>8639657.6400000006</v>
      </c>
      <c r="Z46" s="30">
        <v>8479391.0299999993</v>
      </c>
      <c r="AA46" s="163">
        <v>8412254.5299999993</v>
      </c>
      <c r="AB46" s="30">
        <v>8832916.9199999981</v>
      </c>
      <c r="AC46" s="29">
        <v>8112095.1399999997</v>
      </c>
      <c r="AD46" s="30">
        <v>8119930.9900000002</v>
      </c>
      <c r="AE46" s="163">
        <v>6861545.21</v>
      </c>
      <c r="AF46" s="30">
        <v>7328278.8400000008</v>
      </c>
      <c r="AG46" s="29">
        <v>5753688.2500000009</v>
      </c>
      <c r="AH46" s="30">
        <v>4467715.43</v>
      </c>
      <c r="AI46" s="163">
        <v>4020860.9600000004</v>
      </c>
      <c r="AJ46" s="30">
        <v>4112218.46</v>
      </c>
      <c r="AK46" s="29">
        <v>4182932.8299999996</v>
      </c>
      <c r="AL46" s="30">
        <v>4303897.33</v>
      </c>
      <c r="AM46" s="163">
        <v>2894056.53</v>
      </c>
      <c r="AN46" s="30">
        <v>1234999.07</v>
      </c>
      <c r="AO46" s="29">
        <v>1033265.61</v>
      </c>
      <c r="AP46" s="30">
        <v>1073680.29</v>
      </c>
      <c r="AQ46" s="163">
        <v>2837188.69</v>
      </c>
      <c r="AR46" s="123">
        <v>2903817.7</v>
      </c>
      <c r="AS46" s="29">
        <v>2986019.31</v>
      </c>
      <c r="AT46" s="28">
        <v>3006996.63</v>
      </c>
      <c r="AU46" s="55">
        <v>3009222.82</v>
      </c>
      <c r="AV46" s="30">
        <v>3070529.56</v>
      </c>
      <c r="AW46" s="29">
        <v>2854768.61</v>
      </c>
      <c r="AX46" s="30">
        <v>2748847.63</v>
      </c>
      <c r="AY46" s="55">
        <v>2788975.76</v>
      </c>
      <c r="AZ46" s="30">
        <v>2783687.8</v>
      </c>
      <c r="BA46" s="29">
        <v>1638431.31</v>
      </c>
      <c r="BB46" s="30">
        <v>1649258.64</v>
      </c>
      <c r="BC46" s="29">
        <v>1873263.09</v>
      </c>
    </row>
    <row r="47" spans="1:55" ht="27.9" customHeight="1">
      <c r="A47" s="7" t="s">
        <v>176</v>
      </c>
      <c r="B47" s="30">
        <v>1500077</v>
      </c>
      <c r="C47" s="163">
        <v>1500077</v>
      </c>
      <c r="D47" s="30">
        <v>1500077</v>
      </c>
      <c r="E47" s="29">
        <v>1306510.4099999999</v>
      </c>
      <c r="F47" s="30">
        <v>1306510.4099999999</v>
      </c>
      <c r="G47" s="163">
        <v>1306510.4099999999</v>
      </c>
      <c r="H47" s="30">
        <v>1306510.4099999999</v>
      </c>
      <c r="I47" s="29">
        <v>799385.44</v>
      </c>
      <c r="J47" s="30">
        <v>799385.44</v>
      </c>
      <c r="K47" s="163">
        <v>799385.44</v>
      </c>
      <c r="L47" s="30">
        <v>799385.44</v>
      </c>
      <c r="M47" s="29">
        <v>802528.65</v>
      </c>
      <c r="N47" s="30">
        <v>802528.65</v>
      </c>
      <c r="O47" s="163">
        <v>802528.65</v>
      </c>
      <c r="P47" s="30">
        <v>802528.65</v>
      </c>
      <c r="Q47" s="29">
        <v>735622.52</v>
      </c>
      <c r="R47" s="30">
        <v>735622.52</v>
      </c>
      <c r="S47" s="163">
        <v>735622.52</v>
      </c>
      <c r="T47" s="30">
        <v>735622.52</v>
      </c>
      <c r="U47" s="29">
        <v>740931</v>
      </c>
      <c r="V47" s="30">
        <v>740931</v>
      </c>
      <c r="W47" s="163">
        <v>740931</v>
      </c>
      <c r="X47" s="30">
        <v>740931</v>
      </c>
      <c r="Y47" s="29">
        <v>684905</v>
      </c>
      <c r="Z47" s="30">
        <v>684905</v>
      </c>
      <c r="AA47" s="163">
        <v>684905</v>
      </c>
      <c r="AB47" s="30">
        <v>684905</v>
      </c>
      <c r="AC47" s="29">
        <v>581234</v>
      </c>
      <c r="AD47" s="30">
        <v>581234</v>
      </c>
      <c r="AE47" s="163">
        <v>581234</v>
      </c>
      <c r="AF47" s="30">
        <v>581234</v>
      </c>
      <c r="AG47" s="29">
        <v>425078</v>
      </c>
      <c r="AH47" s="30">
        <v>425078</v>
      </c>
      <c r="AI47" s="163">
        <v>425078</v>
      </c>
      <c r="AJ47" s="30">
        <v>425078</v>
      </c>
      <c r="AK47" s="29">
        <v>344136</v>
      </c>
      <c r="AL47" s="30">
        <v>344136</v>
      </c>
      <c r="AM47" s="163">
        <v>344136</v>
      </c>
      <c r="AN47" s="30">
        <v>342181</v>
      </c>
      <c r="AO47" s="29">
        <v>325564</v>
      </c>
      <c r="AP47" s="30">
        <v>325564</v>
      </c>
      <c r="AQ47" s="163">
        <v>325564</v>
      </c>
      <c r="AR47" s="123">
        <v>325564</v>
      </c>
      <c r="AS47" s="29">
        <v>227494</v>
      </c>
      <c r="AT47" s="28">
        <v>227494</v>
      </c>
      <c r="AU47" s="55">
        <v>227494</v>
      </c>
      <c r="AV47" s="30">
        <v>227494</v>
      </c>
      <c r="AW47" s="29">
        <v>293761.34000000003</v>
      </c>
      <c r="AX47" s="30">
        <v>293761.34000000003</v>
      </c>
      <c r="AY47" s="55">
        <v>276005</v>
      </c>
      <c r="AZ47" s="30">
        <v>276005</v>
      </c>
      <c r="BA47" s="29">
        <v>461275</v>
      </c>
      <c r="BB47" s="30">
        <v>461275</v>
      </c>
      <c r="BC47" s="29">
        <v>454118</v>
      </c>
    </row>
    <row r="48" spans="1:55" ht="27.9" customHeight="1">
      <c r="A48" s="7" t="s">
        <v>52</v>
      </c>
      <c r="B48" s="30">
        <v>15173530.890000001</v>
      </c>
      <c r="C48" s="163">
        <v>15131816.1758311</v>
      </c>
      <c r="D48" s="30">
        <v>14693944.732180201</v>
      </c>
      <c r="E48" s="29">
        <v>16090556.050000001</v>
      </c>
      <c r="F48" s="30">
        <v>16067282.800000001</v>
      </c>
      <c r="G48" s="163">
        <v>16206142.18</v>
      </c>
      <c r="H48" s="30">
        <v>16454912</v>
      </c>
      <c r="I48" s="29">
        <v>13323702</v>
      </c>
      <c r="J48" s="30">
        <v>13513906</v>
      </c>
      <c r="K48" s="163">
        <v>15218936</v>
      </c>
      <c r="L48" s="30">
        <v>15625846</v>
      </c>
      <c r="M48" s="29">
        <v>15258343.1</v>
      </c>
      <c r="N48" s="30">
        <v>15895892.1</v>
      </c>
      <c r="O48" s="163">
        <v>16137867</v>
      </c>
      <c r="P48" s="30">
        <v>15628483.1</v>
      </c>
      <c r="Q48" s="29">
        <v>14722534.77</v>
      </c>
      <c r="R48" s="30">
        <v>15592962.1</v>
      </c>
      <c r="S48" s="163">
        <v>15819596</v>
      </c>
      <c r="T48" s="30">
        <v>16182496</v>
      </c>
      <c r="U48" s="29">
        <v>15522754</v>
      </c>
      <c r="V48" s="30">
        <v>15669876</v>
      </c>
      <c r="W48" s="163">
        <v>15062471.27</v>
      </c>
      <c r="X48" s="30">
        <v>15744604.800000001</v>
      </c>
      <c r="Y48" s="29">
        <v>15886739.98</v>
      </c>
      <c r="Z48" s="30">
        <v>16354502</v>
      </c>
      <c r="AA48" s="163">
        <v>15674659.48</v>
      </c>
      <c r="AB48" s="30">
        <v>15389630.289999999</v>
      </c>
      <c r="AC48" s="29">
        <v>13751509</v>
      </c>
      <c r="AD48" s="30">
        <v>14153428</v>
      </c>
      <c r="AE48" s="163">
        <v>14263693</v>
      </c>
      <c r="AF48" s="30">
        <v>14357568</v>
      </c>
      <c r="AG48" s="29">
        <v>14461202.76</v>
      </c>
      <c r="AH48" s="30">
        <v>14614319.76</v>
      </c>
      <c r="AI48" s="163">
        <v>14899884.359999999</v>
      </c>
      <c r="AJ48" s="30">
        <v>14872865.8684</v>
      </c>
      <c r="AK48" s="29">
        <v>13954516.6</v>
      </c>
      <c r="AL48" s="30">
        <v>13741280.6</v>
      </c>
      <c r="AM48" s="163">
        <v>13331525.199999999</v>
      </c>
      <c r="AN48" s="30">
        <v>14253152.199999999</v>
      </c>
      <c r="AO48" s="29">
        <v>12836885.210000001</v>
      </c>
      <c r="AP48" s="30">
        <v>11989621.98</v>
      </c>
      <c r="AQ48" s="163">
        <v>11032670.27</v>
      </c>
      <c r="AR48" s="123">
        <v>12974591.27</v>
      </c>
      <c r="AS48" s="29">
        <v>12167984.220000001</v>
      </c>
      <c r="AT48" s="28">
        <v>11913390.050000001</v>
      </c>
      <c r="AU48" s="55">
        <v>12680731.92</v>
      </c>
      <c r="AV48" s="30">
        <v>12239920.689999999</v>
      </c>
      <c r="AW48" s="29">
        <v>12529327.41</v>
      </c>
      <c r="AX48" s="30">
        <v>11668011.77</v>
      </c>
      <c r="AY48" s="55">
        <v>11943835.029999999</v>
      </c>
      <c r="AZ48" s="30">
        <v>11151979.970000001</v>
      </c>
      <c r="BA48" s="29">
        <v>12367676.25</v>
      </c>
      <c r="BB48" s="30">
        <v>12026739.58</v>
      </c>
      <c r="BC48" s="29">
        <v>11410817.02</v>
      </c>
    </row>
    <row r="49" spans="1:55" ht="27.9" customHeight="1">
      <c r="A49" s="10" t="s">
        <v>53</v>
      </c>
      <c r="B49" s="169">
        <f t="shared" ref="B49" si="113">SUM(B45:B48)</f>
        <v>28772189.469999999</v>
      </c>
      <c r="C49" s="165">
        <f>SUM(C45:C48)</f>
        <v>29233654.3646871</v>
      </c>
      <c r="D49" s="169">
        <f t="shared" ref="D49" si="114">SUM(D45:D48)</f>
        <v>29403823.575128198</v>
      </c>
      <c r="E49" s="32">
        <f t="shared" ref="E49" si="115">SUM(E45:E48)</f>
        <v>30591728.73</v>
      </c>
      <c r="F49" s="169">
        <f t="shared" ref="F49" si="116">SUM(F45:F48)</f>
        <v>36957284.530000001</v>
      </c>
      <c r="G49" s="165">
        <f>SUM(G45:G48)-0.01</f>
        <v>36993364.220000006</v>
      </c>
      <c r="H49" s="169">
        <f t="shared" ref="H49" si="117">SUM(H45:H48)</f>
        <v>38470088.07</v>
      </c>
      <c r="I49" s="32">
        <f t="shared" ref="I49" si="118">SUM(I45:I48)</f>
        <v>37387904.008338004</v>
      </c>
      <c r="J49" s="169">
        <f t="shared" ref="J49" si="119">SUM(J45:J48)</f>
        <v>37655446.680000007</v>
      </c>
      <c r="K49" s="165">
        <f t="shared" ref="K49" si="120">SUM(K45:K48)</f>
        <v>38957340.370000005</v>
      </c>
      <c r="L49" s="169">
        <f t="shared" ref="L49" si="121">SUM(L45:L48)</f>
        <v>38947901.670000002</v>
      </c>
      <c r="M49" s="32">
        <f t="shared" ref="M49" si="122">SUM(M45:M48)</f>
        <v>39086026.869999997</v>
      </c>
      <c r="N49" s="169">
        <f t="shared" ref="N49" si="123">SUM(N45:N48)</f>
        <v>40015083.18</v>
      </c>
      <c r="O49" s="165">
        <f t="shared" ref="O49" si="124">SUM(O45:O48)</f>
        <v>41167510.109999999</v>
      </c>
      <c r="P49" s="169">
        <f t="shared" ref="P49" si="125">SUM(P45:P48)</f>
        <v>41810643.030000001</v>
      </c>
      <c r="Q49" s="32">
        <f t="shared" ref="Q49" si="126">SUM(Q45:Q48)</f>
        <v>43662708.189999998</v>
      </c>
      <c r="R49" s="169">
        <f t="shared" ref="R49" si="127">SUM(R45:R48)</f>
        <v>44348183.309999995</v>
      </c>
      <c r="S49" s="165">
        <f t="shared" ref="S49" si="128">SUM(S45:S48)</f>
        <v>44922303.280000001</v>
      </c>
      <c r="T49" s="169">
        <f t="shared" ref="T49:U49" si="129">SUM(T45:T48)</f>
        <v>45257577.310000002</v>
      </c>
      <c r="U49" s="32">
        <f t="shared" si="129"/>
        <v>45787154.950000003</v>
      </c>
      <c r="V49" s="169">
        <f t="shared" ref="V49:W49" si="130">SUM(V45:V48)</f>
        <v>49847721</v>
      </c>
      <c r="W49" s="165">
        <f t="shared" si="130"/>
        <v>49750626.920000002</v>
      </c>
      <c r="X49" s="169">
        <f t="shared" ref="X49:Z49" si="131">SUM(X45:X48)</f>
        <v>51471714.700000003</v>
      </c>
      <c r="Y49" s="32">
        <f t="shared" ref="Y49:AA49" si="132">SUM(Y45:Y48)</f>
        <v>53085517.329999998</v>
      </c>
      <c r="Z49" s="169">
        <f t="shared" si="131"/>
        <v>54538328.25</v>
      </c>
      <c r="AA49" s="165">
        <f t="shared" si="132"/>
        <v>52571202.909999996</v>
      </c>
      <c r="AB49" s="169">
        <f t="shared" ref="AB49:AE49" si="133">SUM(AB45:AB48)</f>
        <v>50127392.155555002</v>
      </c>
      <c r="AC49" s="32">
        <f t="shared" si="133"/>
        <v>49481230.129999995</v>
      </c>
      <c r="AD49" s="169">
        <f t="shared" si="133"/>
        <v>47342178.829999998</v>
      </c>
      <c r="AE49" s="165">
        <f t="shared" si="133"/>
        <v>45702722.120000005</v>
      </c>
      <c r="AF49" s="169">
        <f t="shared" ref="AF49" si="134">SUM(AF45:AF48)</f>
        <v>41385810.950000003</v>
      </c>
      <c r="AG49" s="32">
        <f t="shared" ref="AG49" si="135">SUM(AG45:AG48)</f>
        <v>40021026.329999998</v>
      </c>
      <c r="AH49" s="169">
        <f t="shared" ref="AH49" si="136">SUM(AH45:AH48)</f>
        <v>38253639.649999999</v>
      </c>
      <c r="AI49" s="165">
        <f t="shared" ref="AI49" si="137">SUM(AI45:AI48)</f>
        <v>39444393.569999993</v>
      </c>
      <c r="AJ49" s="169">
        <f t="shared" ref="AJ49:AO49" si="138">SUM(AJ45:AJ48)</f>
        <v>42160922.518399999</v>
      </c>
      <c r="AK49" s="32">
        <f t="shared" si="138"/>
        <v>43566867.25</v>
      </c>
      <c r="AL49" s="169">
        <f t="shared" si="138"/>
        <v>48505666.240000002</v>
      </c>
      <c r="AM49" s="165">
        <f t="shared" si="138"/>
        <v>44575464.240000002</v>
      </c>
      <c r="AN49" s="33">
        <f t="shared" si="138"/>
        <v>45982552.299999997</v>
      </c>
      <c r="AO49" s="32">
        <f t="shared" si="138"/>
        <v>52415746.660000004</v>
      </c>
      <c r="AP49" s="169">
        <v>48519752.840000004</v>
      </c>
      <c r="AQ49" s="165">
        <v>47856328.619999997</v>
      </c>
      <c r="AR49" s="124">
        <v>47539284</v>
      </c>
      <c r="AS49" s="32">
        <v>50911242.560000002</v>
      </c>
      <c r="AT49" s="31">
        <v>49231912.090000004</v>
      </c>
      <c r="AU49" s="56">
        <v>52432512.659999996</v>
      </c>
      <c r="AV49" s="33">
        <v>46767409.159999996</v>
      </c>
      <c r="AW49" s="32">
        <v>30758018.75</v>
      </c>
      <c r="AX49" s="33">
        <v>30029880.34</v>
      </c>
      <c r="AY49" s="56">
        <v>32036804.32</v>
      </c>
      <c r="AZ49" s="33">
        <v>30824330.969999999</v>
      </c>
      <c r="BA49" s="32">
        <v>34567971.850000001</v>
      </c>
      <c r="BB49" s="33">
        <v>34722093.350000001</v>
      </c>
      <c r="BC49" s="32">
        <v>38574615.009999998</v>
      </c>
    </row>
    <row r="50" spans="1:55" ht="27.9" customHeight="1">
      <c r="A50" s="7"/>
      <c r="B50" s="30"/>
      <c r="C50" s="163"/>
      <c r="D50" s="30"/>
      <c r="E50" s="29"/>
      <c r="F50" s="30"/>
      <c r="G50" s="163"/>
      <c r="H50" s="30"/>
      <c r="I50" s="29"/>
      <c r="J50" s="30"/>
      <c r="K50" s="163"/>
      <c r="L50" s="30"/>
      <c r="M50" s="29"/>
      <c r="N50" s="30"/>
      <c r="O50" s="163"/>
      <c r="P50" s="30"/>
      <c r="Q50" s="29"/>
      <c r="R50" s="30"/>
      <c r="S50" s="163"/>
      <c r="T50" s="30"/>
      <c r="U50" s="29"/>
      <c r="V50" s="30"/>
      <c r="W50" s="163"/>
      <c r="X50" s="30"/>
      <c r="Y50" s="29"/>
      <c r="Z50" s="30"/>
      <c r="AA50" s="163"/>
      <c r="AB50" s="30"/>
      <c r="AC50" s="29"/>
      <c r="AD50" s="30"/>
      <c r="AE50" s="163"/>
      <c r="AF50" s="30"/>
      <c r="AG50" s="29"/>
      <c r="AH50" s="30"/>
      <c r="AI50" s="163"/>
      <c r="AJ50" s="30"/>
      <c r="AK50" s="29"/>
      <c r="AL50" s="30"/>
      <c r="AM50" s="163"/>
      <c r="AN50" s="30"/>
      <c r="AO50" s="29"/>
      <c r="AP50" s="30"/>
      <c r="AQ50" s="163"/>
      <c r="AR50" s="120"/>
      <c r="AS50" s="29"/>
      <c r="AT50" s="28"/>
      <c r="AU50" s="55"/>
      <c r="AV50" s="30"/>
      <c r="AW50" s="29"/>
      <c r="AX50" s="30"/>
      <c r="AY50" s="55"/>
      <c r="AZ50" s="30"/>
      <c r="BA50" s="29"/>
      <c r="BB50" s="30"/>
      <c r="BC50" s="29"/>
    </row>
    <row r="51" spans="1:55" ht="27.9" customHeight="1">
      <c r="A51" s="10" t="s">
        <v>13</v>
      </c>
      <c r="B51" s="169"/>
      <c r="C51" s="163"/>
      <c r="D51" s="169"/>
      <c r="E51" s="29"/>
      <c r="F51" s="169"/>
      <c r="G51" s="163"/>
      <c r="H51" s="169"/>
      <c r="I51" s="29"/>
      <c r="J51" s="169"/>
      <c r="K51" s="163"/>
      <c r="L51" s="169"/>
      <c r="M51" s="29"/>
      <c r="N51" s="169"/>
      <c r="O51" s="163"/>
      <c r="P51" s="169"/>
      <c r="Q51" s="29"/>
      <c r="R51" s="169"/>
      <c r="S51" s="163"/>
      <c r="T51" s="169"/>
      <c r="U51" s="29"/>
      <c r="V51" s="169"/>
      <c r="W51" s="163"/>
      <c r="X51" s="169"/>
      <c r="Y51" s="29"/>
      <c r="Z51" s="169"/>
      <c r="AA51" s="163"/>
      <c r="AB51" s="169"/>
      <c r="AC51" s="35"/>
      <c r="AD51" s="169"/>
      <c r="AE51" s="163"/>
      <c r="AF51" s="169"/>
      <c r="AG51" s="35"/>
      <c r="AH51" s="169"/>
      <c r="AI51" s="163"/>
      <c r="AJ51" s="169"/>
      <c r="AK51" s="35"/>
      <c r="AL51" s="169"/>
      <c r="AM51" s="163"/>
      <c r="AN51" s="170"/>
      <c r="AO51" s="35"/>
      <c r="AP51" s="169"/>
      <c r="AQ51" s="163"/>
      <c r="AR51" s="120"/>
      <c r="AS51" s="35"/>
      <c r="AT51" s="34"/>
      <c r="AU51" s="87"/>
      <c r="AV51" s="34"/>
      <c r="AW51" s="35"/>
      <c r="AX51" s="34"/>
      <c r="AY51" s="87"/>
      <c r="AZ51" s="34"/>
      <c r="BA51" s="35"/>
      <c r="BB51" s="34"/>
      <c r="BC51" s="29"/>
    </row>
    <row r="52" spans="1:55" ht="27.9" customHeight="1">
      <c r="A52" s="7" t="s">
        <v>223</v>
      </c>
      <c r="B52" s="30">
        <v>6095841.2699999996</v>
      </c>
      <c r="C52" s="163">
        <v>1121906.4100000006</v>
      </c>
      <c r="D52" s="30">
        <v>1146819.6200000001</v>
      </c>
      <c r="E52" s="29">
        <v>1176869.9099999999</v>
      </c>
      <c r="F52" s="30">
        <v>4774809.6100000003</v>
      </c>
      <c r="G52" s="163">
        <v>4628005.0599999996</v>
      </c>
      <c r="H52" s="30">
        <v>6153238.2199999997</v>
      </c>
      <c r="I52" s="29">
        <v>6836129.7038790025</v>
      </c>
      <c r="J52" s="30">
        <v>7566232.9000000004</v>
      </c>
      <c r="K52" s="163">
        <v>33089624.300000001</v>
      </c>
      <c r="L52" s="30">
        <v>22802228.93</v>
      </c>
      <c r="M52" s="29">
        <v>30568375.129999999</v>
      </c>
      <c r="N52" s="30">
        <v>32462827.52</v>
      </c>
      <c r="O52" s="163">
        <v>31755120.050000001</v>
      </c>
      <c r="P52" s="30">
        <v>11798714.369999999</v>
      </c>
      <c r="Q52" s="29">
        <v>23945154.93</v>
      </c>
      <c r="R52" s="30">
        <v>31856926.57</v>
      </c>
      <c r="S52" s="163">
        <v>41929335.740000002</v>
      </c>
      <c r="T52" s="30">
        <v>37436727.909999996</v>
      </c>
      <c r="U52" s="29">
        <v>24420765.82</v>
      </c>
      <c r="V52" s="30">
        <v>36246674.25</v>
      </c>
      <c r="W52" s="163">
        <v>44694701.829999998</v>
      </c>
      <c r="X52" s="30">
        <v>49212947.68</v>
      </c>
      <c r="Y52" s="29">
        <v>66279492.07</v>
      </c>
      <c r="Z52" s="30">
        <v>69356373.109999999</v>
      </c>
      <c r="AA52" s="163">
        <v>68450788.390000001</v>
      </c>
      <c r="AB52" s="30">
        <v>64677409</v>
      </c>
      <c r="AC52" s="29">
        <v>81101735.400000006</v>
      </c>
      <c r="AD52" s="30">
        <v>78084132.399999991</v>
      </c>
      <c r="AE52" s="163">
        <v>82060993.800000012</v>
      </c>
      <c r="AF52" s="30">
        <v>63838070.130000003</v>
      </c>
      <c r="AG52" s="29">
        <v>73941898.190000013</v>
      </c>
      <c r="AH52" s="30">
        <v>65252999.450000003</v>
      </c>
      <c r="AI52" s="163">
        <v>67397084.589999989</v>
      </c>
      <c r="AJ52" s="30">
        <v>51761455.320000008</v>
      </c>
      <c r="AK52" s="29">
        <v>69071386.320000008</v>
      </c>
      <c r="AL52" s="30">
        <v>58420134.32</v>
      </c>
      <c r="AM52" s="163">
        <v>71651640.780000001</v>
      </c>
      <c r="AN52" s="30">
        <v>54442966.049999997</v>
      </c>
      <c r="AO52" s="29">
        <v>49739137.289999999</v>
      </c>
      <c r="AP52" s="30">
        <v>45173011.899999999</v>
      </c>
      <c r="AQ52" s="163">
        <v>51509679.740000002</v>
      </c>
      <c r="AR52" s="123">
        <v>48740445.299999997</v>
      </c>
      <c r="AS52" s="29">
        <v>45379370.140000001</v>
      </c>
      <c r="AT52" s="28">
        <v>41718475.299999997</v>
      </c>
      <c r="AU52" s="55">
        <v>47892166.859999999</v>
      </c>
      <c r="AV52" s="30">
        <v>37416925.369999997</v>
      </c>
      <c r="AW52" s="29">
        <v>43373807.57</v>
      </c>
      <c r="AX52" s="30">
        <v>41310471.479999997</v>
      </c>
      <c r="AY52" s="55">
        <v>50697838.119999997</v>
      </c>
      <c r="AZ52" s="30">
        <v>46613167.759999998</v>
      </c>
      <c r="BA52" s="29">
        <v>38955996.119999997</v>
      </c>
      <c r="BB52" s="30">
        <v>38737501.229999997</v>
      </c>
      <c r="BC52" s="29">
        <v>40452002.700000003</v>
      </c>
    </row>
    <row r="53" spans="1:55" ht="27.9" customHeight="1">
      <c r="A53" s="7" t="s">
        <v>54</v>
      </c>
      <c r="B53" s="30">
        <v>30163360.27</v>
      </c>
      <c r="C53" s="163">
        <v>46277793.589999996</v>
      </c>
      <c r="D53" s="30">
        <v>41529776.619999982</v>
      </c>
      <c r="E53" s="29">
        <v>35827501.829999998</v>
      </c>
      <c r="F53" s="30">
        <f>38064830.79</f>
        <v>38064830.789999999</v>
      </c>
      <c r="G53" s="163">
        <v>53782500.100000001</v>
      </c>
      <c r="H53" s="30">
        <v>43909495.210000001</v>
      </c>
      <c r="I53" s="29">
        <v>33344170.539999992</v>
      </c>
      <c r="J53" s="30">
        <v>29196976.59</v>
      </c>
      <c r="K53" s="163">
        <v>36438107.950000003</v>
      </c>
      <c r="L53" s="30">
        <v>28033776.079999998</v>
      </c>
      <c r="M53" s="29">
        <v>26929572.050000001</v>
      </c>
      <c r="N53" s="30">
        <v>36596581.780000001</v>
      </c>
      <c r="O53" s="163">
        <v>58466173.759999998</v>
      </c>
      <c r="P53" s="30">
        <v>45810740.009999998</v>
      </c>
      <c r="Q53" s="29">
        <v>31915180.469999999</v>
      </c>
      <c r="R53" s="30">
        <v>28098059.66</v>
      </c>
      <c r="S53" s="163">
        <v>44777973.859999999</v>
      </c>
      <c r="T53" s="30">
        <v>43379825.420000002</v>
      </c>
      <c r="U53" s="29">
        <v>25508200.84</v>
      </c>
      <c r="V53" s="30">
        <v>32748854.100000001</v>
      </c>
      <c r="W53" s="163">
        <v>52761598.530000001</v>
      </c>
      <c r="X53" s="30">
        <v>65256837.329999998</v>
      </c>
      <c r="Y53" s="29">
        <v>28582956.859999999</v>
      </c>
      <c r="Z53" s="30">
        <v>36964728.289999999</v>
      </c>
      <c r="AA53" s="163">
        <v>47481795.719999999</v>
      </c>
      <c r="AB53" s="30">
        <v>43219492.890000008</v>
      </c>
      <c r="AC53" s="29">
        <v>27834409.960000001</v>
      </c>
      <c r="AD53" s="30">
        <v>39483909.480000004</v>
      </c>
      <c r="AE53" s="163">
        <v>46002983.689999983</v>
      </c>
      <c r="AF53" s="30">
        <v>39320630.910000004</v>
      </c>
      <c r="AG53" s="29">
        <v>34436226.100000009</v>
      </c>
      <c r="AH53" s="30">
        <v>46137389.299999997</v>
      </c>
      <c r="AI53" s="163">
        <v>46679121.019999996</v>
      </c>
      <c r="AJ53" s="30">
        <v>41234243.300000004</v>
      </c>
      <c r="AK53" s="29">
        <v>37345168.949999988</v>
      </c>
      <c r="AL53" s="30">
        <v>47635155.340000004</v>
      </c>
      <c r="AM53" s="163">
        <v>50697899.909999996</v>
      </c>
      <c r="AN53" s="30">
        <v>36258751.659999996</v>
      </c>
      <c r="AO53" s="29">
        <v>36308391.689999998</v>
      </c>
      <c r="AP53" s="30">
        <v>42776678.829999998</v>
      </c>
      <c r="AQ53" s="163">
        <v>61866471.530000001</v>
      </c>
      <c r="AR53" s="123">
        <v>38925395.729999997</v>
      </c>
      <c r="AS53" s="29">
        <v>33234066.579999998</v>
      </c>
      <c r="AT53" s="28">
        <v>38970991.789999999</v>
      </c>
      <c r="AU53" s="55">
        <v>44407916.799999997</v>
      </c>
      <c r="AV53" s="30">
        <v>30036616.420000002</v>
      </c>
      <c r="AW53" s="29">
        <v>23348861.699999999</v>
      </c>
      <c r="AX53" s="30">
        <v>33992147.780000001</v>
      </c>
      <c r="AY53" s="55">
        <v>44821633.280000001</v>
      </c>
      <c r="AZ53" s="30">
        <v>25485205.969999999</v>
      </c>
      <c r="BA53" s="29">
        <v>23422616.170000002</v>
      </c>
      <c r="BB53" s="30">
        <v>37795435.200000003</v>
      </c>
      <c r="BC53" s="29">
        <v>36390649.359999999</v>
      </c>
    </row>
    <row r="54" spans="1:55" ht="27.9" customHeight="1">
      <c r="A54" s="7" t="s">
        <v>55</v>
      </c>
      <c r="B54" s="30">
        <v>11429308</v>
      </c>
      <c r="C54" s="163">
        <v>168679</v>
      </c>
      <c r="D54" s="30">
        <v>10212535</v>
      </c>
      <c r="E54" s="29">
        <v>11809530</v>
      </c>
      <c r="F54" s="30">
        <v>3936554</v>
      </c>
      <c r="G54" s="163">
        <v>5417501</v>
      </c>
      <c r="H54" s="30">
        <v>3037676</v>
      </c>
      <c r="I54" s="29">
        <v>1585169</v>
      </c>
      <c r="J54" s="30">
        <v>0</v>
      </c>
      <c r="K54" s="163">
        <v>943231.04</v>
      </c>
      <c r="L54" s="30">
        <v>569671.62</v>
      </c>
      <c r="M54" s="29">
        <v>2310818.36</v>
      </c>
      <c r="N54" s="30">
        <v>2296285.1</v>
      </c>
      <c r="O54" s="163">
        <v>2612633.92</v>
      </c>
      <c r="P54" s="30">
        <v>2187869.9900000002</v>
      </c>
      <c r="Q54" s="29">
        <v>3430962.72</v>
      </c>
      <c r="R54" s="30">
        <v>2816669.45</v>
      </c>
      <c r="S54" s="163">
        <v>7020766.1799999997</v>
      </c>
      <c r="T54" s="30">
        <v>6023005</v>
      </c>
      <c r="U54" s="29">
        <v>6367233</v>
      </c>
      <c r="V54" s="30">
        <v>5812319</v>
      </c>
      <c r="W54" s="163">
        <v>5821860</v>
      </c>
      <c r="X54" s="30">
        <v>2693439</v>
      </c>
      <c r="Y54" s="29">
        <v>1374434</v>
      </c>
      <c r="Z54" s="30">
        <v>1706331</v>
      </c>
      <c r="AA54" s="163">
        <v>0</v>
      </c>
      <c r="AB54" s="30">
        <v>0</v>
      </c>
      <c r="AC54" s="29">
        <v>824786</v>
      </c>
      <c r="AD54" s="30">
        <v>1079837</v>
      </c>
      <c r="AE54" s="163">
        <v>1459324</v>
      </c>
      <c r="AF54" s="30">
        <v>256934</v>
      </c>
      <c r="AG54" s="29">
        <v>665058</v>
      </c>
      <c r="AH54" s="30">
        <v>381403</v>
      </c>
      <c r="AI54" s="163">
        <v>378955</v>
      </c>
      <c r="AJ54" s="30">
        <v>345684</v>
      </c>
      <c r="AK54" s="29">
        <v>0</v>
      </c>
      <c r="AL54" s="30">
        <v>975925</v>
      </c>
      <c r="AM54" s="163">
        <v>23108</v>
      </c>
      <c r="AN54" s="30">
        <v>152290.67000000001</v>
      </c>
      <c r="AO54" s="29">
        <v>1860518</v>
      </c>
      <c r="AP54" s="30">
        <v>4078244</v>
      </c>
      <c r="AQ54" s="163">
        <v>1584951</v>
      </c>
      <c r="AR54" s="123">
        <v>174388</v>
      </c>
      <c r="AS54" s="29">
        <v>2376994.5</v>
      </c>
      <c r="AT54" s="28">
        <v>3026404</v>
      </c>
      <c r="AU54" s="55">
        <v>652067</v>
      </c>
      <c r="AV54" s="30">
        <v>0</v>
      </c>
      <c r="AW54" s="29">
        <v>263464</v>
      </c>
      <c r="AX54" s="30">
        <v>1149143</v>
      </c>
      <c r="AY54" s="55">
        <v>0</v>
      </c>
      <c r="AZ54" s="30">
        <v>0</v>
      </c>
      <c r="BA54" s="29">
        <v>0</v>
      </c>
      <c r="BB54" s="30">
        <v>0</v>
      </c>
      <c r="BC54" s="29">
        <v>0</v>
      </c>
    </row>
    <row r="55" spans="1:55" ht="27.9" customHeight="1">
      <c r="A55" s="7" t="s">
        <v>118</v>
      </c>
      <c r="B55" s="30">
        <v>0</v>
      </c>
      <c r="C55" s="163">
        <v>15658.710000000001</v>
      </c>
      <c r="D55" s="30">
        <v>0</v>
      </c>
      <c r="E55" s="29">
        <v>0</v>
      </c>
      <c r="F55" s="30">
        <v>0</v>
      </c>
      <c r="G55" s="163">
        <v>0</v>
      </c>
      <c r="H55" s="30">
        <v>0</v>
      </c>
      <c r="I55" s="29">
        <v>0</v>
      </c>
      <c r="J55" s="30">
        <v>0</v>
      </c>
      <c r="K55" s="163">
        <v>0</v>
      </c>
      <c r="L55" s="30">
        <v>0</v>
      </c>
      <c r="M55" s="29">
        <v>598226.06999999995</v>
      </c>
      <c r="N55" s="30">
        <v>640803.32999999996</v>
      </c>
      <c r="O55" s="163">
        <v>635304.91</v>
      </c>
      <c r="P55" s="30">
        <v>646945.25</v>
      </c>
      <c r="Q55" s="29">
        <v>468337.94</v>
      </c>
      <c r="R55" s="30">
        <v>0</v>
      </c>
      <c r="S55" s="163">
        <v>486566.13</v>
      </c>
      <c r="T55" s="30">
        <v>586960.87</v>
      </c>
      <c r="U55" s="29">
        <v>297401.28000000003</v>
      </c>
      <c r="V55" s="30">
        <v>184999.57</v>
      </c>
      <c r="W55" s="163">
        <v>377940.13</v>
      </c>
      <c r="X55" s="30">
        <v>0</v>
      </c>
      <c r="Y55" s="29">
        <v>30608.71</v>
      </c>
      <c r="Z55" s="30">
        <v>39163.11</v>
      </c>
      <c r="AA55" s="163">
        <v>0</v>
      </c>
      <c r="AB55" s="30">
        <v>0</v>
      </c>
      <c r="AC55" s="29">
        <v>0</v>
      </c>
      <c r="AD55" s="30">
        <v>396618.86</v>
      </c>
      <c r="AE55" s="163">
        <v>376840.82</v>
      </c>
      <c r="AF55" s="30">
        <v>552627.5</v>
      </c>
      <c r="AG55" s="29">
        <v>0</v>
      </c>
      <c r="AH55" s="30">
        <v>0</v>
      </c>
      <c r="AI55" s="163">
        <v>431172.66</v>
      </c>
      <c r="AJ55" s="30">
        <v>431172.66</v>
      </c>
      <c r="AK55" s="29">
        <v>189843.65</v>
      </c>
      <c r="AL55" s="30">
        <v>189843.65</v>
      </c>
      <c r="AM55" s="163">
        <v>337578.77</v>
      </c>
      <c r="AN55" s="30">
        <v>337578.77</v>
      </c>
      <c r="AO55" s="29">
        <v>146278.97</v>
      </c>
      <c r="AP55" s="30">
        <v>146278.97</v>
      </c>
      <c r="AQ55" s="163">
        <v>177054.33</v>
      </c>
      <c r="AR55" s="123">
        <v>177054.33</v>
      </c>
      <c r="AS55" s="29">
        <v>481582.62</v>
      </c>
      <c r="AT55" s="28">
        <v>481582.62</v>
      </c>
      <c r="AU55" s="55">
        <v>469124.19</v>
      </c>
      <c r="AV55" s="30">
        <v>469124.19</v>
      </c>
      <c r="AW55" s="29">
        <v>68663.179999999993</v>
      </c>
      <c r="AX55" s="30">
        <v>187078.68</v>
      </c>
      <c r="AY55" s="55">
        <v>172911.31</v>
      </c>
      <c r="AZ55" s="30">
        <v>172000</v>
      </c>
      <c r="BA55" s="29">
        <v>164502.13</v>
      </c>
      <c r="BB55" s="30">
        <v>164502.13</v>
      </c>
      <c r="BC55" s="29">
        <v>806060.76</v>
      </c>
    </row>
    <row r="56" spans="1:55" ht="27.9" customHeight="1">
      <c r="A56" s="7" t="s">
        <v>51</v>
      </c>
      <c r="B56" s="30">
        <v>58686963.079999998</v>
      </c>
      <c r="C56" s="163">
        <v>151897146.54000005</v>
      </c>
      <c r="D56" s="30">
        <v>195483527.70999998</v>
      </c>
      <c r="E56" s="29">
        <v>55963940.840000004</v>
      </c>
      <c r="F56" s="30">
        <v>92378366.659999996</v>
      </c>
      <c r="G56" s="163">
        <v>83819007.909999996</v>
      </c>
      <c r="H56" s="30">
        <v>93748896.480000004</v>
      </c>
      <c r="I56" s="29">
        <v>55375866.300000004</v>
      </c>
      <c r="J56" s="30">
        <v>49127559.600000001</v>
      </c>
      <c r="K56" s="163">
        <v>16678283.67</v>
      </c>
      <c r="L56" s="30">
        <v>10561193.4</v>
      </c>
      <c r="M56" s="29">
        <v>11899694.130000001</v>
      </c>
      <c r="N56" s="30">
        <v>12888458.710000001</v>
      </c>
      <c r="O56" s="163">
        <v>20399538.75</v>
      </c>
      <c r="P56" s="30">
        <v>29767055.379999999</v>
      </c>
      <c r="Q56" s="29">
        <f>9767736.33-0.01</f>
        <v>9767736.3200000003</v>
      </c>
      <c r="R56" s="30">
        <v>10153464.119999999</v>
      </c>
      <c r="S56" s="163">
        <f>12048617.08-0.01</f>
        <v>12048617.07</v>
      </c>
      <c r="T56" s="30">
        <v>9668578.3200000003</v>
      </c>
      <c r="U56" s="29">
        <v>16650788.869999999</v>
      </c>
      <c r="V56" s="30">
        <v>23881661.210000001</v>
      </c>
      <c r="W56" s="163">
        <v>26787425.550000001</v>
      </c>
      <c r="X56" s="30">
        <v>10420956.57</v>
      </c>
      <c r="Y56" s="29">
        <v>6841132.4299999997</v>
      </c>
      <c r="Z56" s="30">
        <v>9585588.6999999993</v>
      </c>
      <c r="AA56" s="163">
        <v>12385910.67</v>
      </c>
      <c r="AB56" s="30">
        <v>16664839.789999999</v>
      </c>
      <c r="AC56" s="29">
        <v>15568400.93</v>
      </c>
      <c r="AD56" s="30">
        <v>20361819.600000001</v>
      </c>
      <c r="AE56" s="163">
        <v>12897268.789999999</v>
      </c>
      <c r="AF56" s="30">
        <v>18880200.140000001</v>
      </c>
      <c r="AG56" s="29">
        <v>13810432.390000001</v>
      </c>
      <c r="AH56" s="30">
        <v>14173354.560000001</v>
      </c>
      <c r="AI56" s="163">
        <v>13707545.030000001</v>
      </c>
      <c r="AJ56" s="30">
        <v>9462422.8499999996</v>
      </c>
      <c r="AK56" s="29">
        <v>10526331.939999998</v>
      </c>
      <c r="AL56" s="30">
        <v>13776758.92</v>
      </c>
      <c r="AM56" s="163">
        <v>14792079.550000001</v>
      </c>
      <c r="AN56" s="30">
        <v>13998308</v>
      </c>
      <c r="AO56" s="29">
        <v>11692269.57</v>
      </c>
      <c r="AP56" s="30">
        <v>12413325.029999999</v>
      </c>
      <c r="AQ56" s="163">
        <v>15173843.359999999</v>
      </c>
      <c r="AR56" s="123">
        <v>15235586.84</v>
      </c>
      <c r="AS56" s="29">
        <v>12164255.310000001</v>
      </c>
      <c r="AT56" s="28">
        <v>16702436.25</v>
      </c>
      <c r="AU56" s="55">
        <v>12599208.76</v>
      </c>
      <c r="AV56" s="30">
        <v>7593653.4199999999</v>
      </c>
      <c r="AW56" s="29">
        <v>7628139.5499999998</v>
      </c>
      <c r="AX56" s="30">
        <v>8461031.6899999995</v>
      </c>
      <c r="AY56" s="55">
        <v>11369677.470000001</v>
      </c>
      <c r="AZ56" s="30">
        <v>9126160.0800000001</v>
      </c>
      <c r="BA56" s="29">
        <v>8888628.5600000005</v>
      </c>
      <c r="BB56" s="30">
        <v>8412080.5</v>
      </c>
      <c r="BC56" s="29">
        <v>8937456.7200000007</v>
      </c>
    </row>
    <row r="57" spans="1:55" ht="27.9" customHeight="1">
      <c r="A57" s="7" t="s">
        <v>261</v>
      </c>
      <c r="B57" s="30">
        <v>9574324.6600000001</v>
      </c>
      <c r="C57" s="163">
        <v>10014279.620000001</v>
      </c>
      <c r="D57" s="30">
        <v>9615005.7599999998</v>
      </c>
      <c r="E57" s="29">
        <v>7115917.79</v>
      </c>
      <c r="F57" s="30">
        <v>7663801.5099999998</v>
      </c>
      <c r="G57" s="163">
        <v>7954768.54</v>
      </c>
      <c r="H57" s="30">
        <v>7424552.5899999999</v>
      </c>
      <c r="I57" s="29">
        <v>5097712.959999999</v>
      </c>
      <c r="J57" s="30">
        <v>5131803.9000000004</v>
      </c>
      <c r="K57" s="163">
        <v>5485158.3399999999</v>
      </c>
      <c r="L57" s="30">
        <v>5321369.84</v>
      </c>
      <c r="M57" s="29">
        <f>4926882.18+97074.61</f>
        <v>5023956.79</v>
      </c>
      <c r="N57" s="30">
        <f>5111855.87+225000</f>
        <v>5336855.87</v>
      </c>
      <c r="O57" s="163">
        <f>5110539.03+225000</f>
        <v>5335539.03</v>
      </c>
      <c r="P57" s="30">
        <f>4709412.57+225000</f>
        <v>4934412.57</v>
      </c>
      <c r="Q57" s="29">
        <v>4548034.07</v>
      </c>
      <c r="R57" s="30">
        <f>4659686.53+93418.73</f>
        <v>4753105.2600000007</v>
      </c>
      <c r="S57" s="163">
        <f>4611960.68+200000</f>
        <v>4811960.68</v>
      </c>
      <c r="T57" s="30">
        <f>4553173.66+200000</f>
        <v>4753173.66</v>
      </c>
      <c r="U57" s="29">
        <v>3785164.98</v>
      </c>
      <c r="V57" s="30">
        <v>4061693.23</v>
      </c>
      <c r="W57" s="163">
        <f>4486708.63+250000</f>
        <v>4736708.63</v>
      </c>
      <c r="X57" s="30">
        <f>4421005.07+250000</f>
        <v>4671005.07</v>
      </c>
      <c r="Y57" s="29">
        <v>3827596.23</v>
      </c>
      <c r="Z57" s="30">
        <v>3718949.51</v>
      </c>
      <c r="AA57" s="163">
        <f>3964027.99+200000</f>
        <v>4164027.99</v>
      </c>
      <c r="AB57" s="30">
        <f>3883256.38+200000</f>
        <v>4083256.38</v>
      </c>
      <c r="AC57" s="29">
        <v>4419009.62</v>
      </c>
      <c r="AD57" s="30">
        <v>4542216.3999999994</v>
      </c>
      <c r="AE57" s="163">
        <v>4658985.5</v>
      </c>
      <c r="AF57" s="30">
        <f>4830841.85+176250</f>
        <v>5007091.8499999996</v>
      </c>
      <c r="AG57" s="29">
        <v>4201066.84</v>
      </c>
      <c r="AH57" s="30">
        <v>4155241.7199999993</v>
      </c>
      <c r="AI57" s="163">
        <v>4457217.25</v>
      </c>
      <c r="AJ57" s="30">
        <v>4597964.4400000004</v>
      </c>
      <c r="AK57" s="29">
        <v>4067906.6799999992</v>
      </c>
      <c r="AL57" s="30">
        <v>4104937.9</v>
      </c>
      <c r="AM57" s="163">
        <v>4143355.61</v>
      </c>
      <c r="AN57" s="30">
        <v>3083490.35</v>
      </c>
      <c r="AO57" s="29">
        <v>2787592.77</v>
      </c>
      <c r="AP57" s="30">
        <v>2784261.36</v>
      </c>
      <c r="AQ57" s="163">
        <v>207581</v>
      </c>
      <c r="AR57" s="123">
        <v>207581</v>
      </c>
      <c r="AS57" s="29">
        <v>159860.12</v>
      </c>
      <c r="AT57" s="28">
        <v>159860.12</v>
      </c>
      <c r="AU57" s="55">
        <v>159860.12</v>
      </c>
      <c r="AV57" s="30">
        <v>194860.12</v>
      </c>
      <c r="AW57" s="29">
        <v>104200.57</v>
      </c>
      <c r="AX57" s="30">
        <v>104200.57</v>
      </c>
      <c r="AY57" s="55">
        <v>109913.06</v>
      </c>
      <c r="AZ57" s="30">
        <v>256368.45</v>
      </c>
      <c r="BA57" s="29">
        <v>378972</v>
      </c>
      <c r="BB57" s="30">
        <v>378972</v>
      </c>
      <c r="BC57" s="29">
        <v>1078061.81</v>
      </c>
    </row>
    <row r="58" spans="1:55" ht="27.9" customHeight="1">
      <c r="A58" s="7" t="s">
        <v>262</v>
      </c>
      <c r="B58" s="30">
        <v>6640801.2599999998</v>
      </c>
      <c r="C58" s="163">
        <v>6070066.6600000001</v>
      </c>
      <c r="D58" s="30">
        <v>6668193.7199999997</v>
      </c>
      <c r="E58" s="29">
        <v>4321771.95</v>
      </c>
      <c r="F58" s="30">
        <v>4321771.95</v>
      </c>
      <c r="G58" s="163">
        <v>4321771.95</v>
      </c>
      <c r="H58" s="30">
        <v>4619428.58</v>
      </c>
      <c r="I58" s="29">
        <v>4322471.95</v>
      </c>
      <c r="J58" s="30">
        <v>1177630.3500000001</v>
      </c>
      <c r="K58" s="163">
        <v>1177630.3500000001</v>
      </c>
      <c r="L58" s="30">
        <v>1248404.02</v>
      </c>
      <c r="M58" s="29">
        <f>381874.61-97074.61</f>
        <v>284800</v>
      </c>
      <c r="N58" s="30">
        <f>509800-225000</f>
        <v>284800</v>
      </c>
      <c r="O58" s="163">
        <f>509800-225000</f>
        <v>284800</v>
      </c>
      <c r="P58" s="30">
        <f>527898.5-225000</f>
        <v>302898.5</v>
      </c>
      <c r="Q58" s="29">
        <v>284800</v>
      </c>
      <c r="R58" s="30">
        <f>378218.73-93418.73</f>
        <v>284800</v>
      </c>
      <c r="S58" s="163">
        <f>484800-200000</f>
        <v>284800</v>
      </c>
      <c r="T58" s="30">
        <f>654489.68-200000</f>
        <v>454489.68000000005</v>
      </c>
      <c r="U58" s="29">
        <v>284800</v>
      </c>
      <c r="V58" s="30">
        <v>284800</v>
      </c>
      <c r="W58" s="163">
        <f>534800-250000</f>
        <v>284800</v>
      </c>
      <c r="X58" s="30">
        <f>534800-250000</f>
        <v>284800</v>
      </c>
      <c r="Y58" s="29">
        <v>312402.55</v>
      </c>
      <c r="Z58" s="30">
        <v>284800</v>
      </c>
      <c r="AA58" s="163">
        <f>484800-200000</f>
        <v>284800</v>
      </c>
      <c r="AB58" s="30">
        <f>539292.69-200000</f>
        <v>339292.68999999994</v>
      </c>
      <c r="AC58" s="29">
        <v>306447.93</v>
      </c>
      <c r="AD58" s="30">
        <v>284800</v>
      </c>
      <c r="AE58" s="163">
        <v>301995.84000000003</v>
      </c>
      <c r="AF58" s="30">
        <f>594662.79-176250</f>
        <v>418412.79000000004</v>
      </c>
      <c r="AG58" s="29">
        <v>39063.96</v>
      </c>
      <c r="AH58" s="30">
        <v>700</v>
      </c>
      <c r="AI58" s="163">
        <v>700</v>
      </c>
      <c r="AJ58" s="30">
        <v>156289.66</v>
      </c>
      <c r="AK58" s="29">
        <v>91052.800000000003</v>
      </c>
      <c r="AL58" s="30">
        <v>27889.84</v>
      </c>
      <c r="AM58" s="163">
        <v>1158.9000000000001</v>
      </c>
      <c r="AN58" s="30">
        <v>12095.33</v>
      </c>
      <c r="AO58" s="29">
        <v>39359.910000000003</v>
      </c>
      <c r="AP58" s="30">
        <v>700</v>
      </c>
      <c r="AQ58" s="163">
        <v>700</v>
      </c>
      <c r="AR58" s="123">
        <v>157134.42000000001</v>
      </c>
      <c r="AS58" s="29">
        <v>11689.26</v>
      </c>
      <c r="AT58" s="28">
        <v>3850</v>
      </c>
      <c r="AU58" s="55">
        <v>6095.49</v>
      </c>
      <c r="AV58" s="30">
        <v>18977.740000000002</v>
      </c>
      <c r="AW58" s="29">
        <v>43600</v>
      </c>
      <c r="AX58" s="30">
        <v>122290.48</v>
      </c>
      <c r="AY58" s="55">
        <v>219318.59</v>
      </c>
      <c r="AZ58" s="30">
        <v>563250.57999999996</v>
      </c>
      <c r="BA58" s="29">
        <v>169460.48000000001</v>
      </c>
      <c r="BB58" s="30">
        <v>1163560.21</v>
      </c>
      <c r="BC58" s="29">
        <v>1128000.81</v>
      </c>
    </row>
    <row r="59" spans="1:55" ht="27.9" customHeight="1">
      <c r="A59" s="10" t="s">
        <v>56</v>
      </c>
      <c r="B59" s="169">
        <f>SUM(B52:B58)</f>
        <v>122590598.54000001</v>
      </c>
      <c r="C59" s="165">
        <f t="shared" ref="C59" si="139">SUM(C52:C58)</f>
        <v>215565530.53000006</v>
      </c>
      <c r="D59" s="169">
        <f>SUM(D52:D58)</f>
        <v>264655858.42999995</v>
      </c>
      <c r="E59" s="32">
        <f>SUM(E52:E58)</f>
        <v>116215532.32000001</v>
      </c>
      <c r="F59" s="169">
        <f>SUM(F52:F58)</f>
        <v>151140134.51999998</v>
      </c>
      <c r="G59" s="165">
        <f t="shared" ref="G59" si="140">SUM(G52:G58)</f>
        <v>159923554.55999997</v>
      </c>
      <c r="H59" s="169">
        <f>SUM(H52:H58)</f>
        <v>158893287.08000001</v>
      </c>
      <c r="I59" s="32">
        <f>SUM(I52:I58)</f>
        <v>106561520.453879</v>
      </c>
      <c r="J59" s="169">
        <f t="shared" ref="J59" si="141">SUM(J52:J58)</f>
        <v>92200203.340000004</v>
      </c>
      <c r="K59" s="165">
        <f t="shared" ref="K59" si="142">SUM(K52:K58)</f>
        <v>93812035.650000006</v>
      </c>
      <c r="L59" s="169">
        <f>SUM(L52:L58)</f>
        <v>68536643.889999986</v>
      </c>
      <c r="M59" s="32">
        <f>SUM(M52:M58)</f>
        <v>77615442.530000001</v>
      </c>
      <c r="N59" s="169">
        <f t="shared" ref="N59" si="143">SUM(N52:N58)</f>
        <v>90506612.310000002</v>
      </c>
      <c r="O59" s="165">
        <f t="shared" ref="O59" si="144">SUM(O52:O58)</f>
        <v>119489110.42</v>
      </c>
      <c r="P59" s="169">
        <f>SUM(P52:P58)</f>
        <v>95448636.069999993</v>
      </c>
      <c r="Q59" s="32">
        <f>SUM(Q52:Q58)</f>
        <v>74360206.449999988</v>
      </c>
      <c r="R59" s="169">
        <f t="shared" ref="R59" si="145">SUM(R52:R58)</f>
        <v>77963025.060000017</v>
      </c>
      <c r="S59" s="165">
        <f t="shared" ref="S59" si="146">SUM(S52:S58)</f>
        <v>111360019.66</v>
      </c>
      <c r="T59" s="169">
        <f>SUM(T52:T58)</f>
        <v>102302760.86000001</v>
      </c>
      <c r="U59" s="32">
        <f>SUM(U52:U58)</f>
        <v>77314354.790000007</v>
      </c>
      <c r="V59" s="169">
        <f t="shared" ref="V59" si="147">SUM(V52:V58)</f>
        <v>103221001.36</v>
      </c>
      <c r="W59" s="165">
        <f t="shared" ref="W59" si="148">SUM(W52:W58)</f>
        <v>135465034.66999999</v>
      </c>
      <c r="X59" s="169">
        <f t="shared" ref="X59:Z59" si="149">SUM(X52:X58)</f>
        <v>132539985.64999998</v>
      </c>
      <c r="Y59" s="32">
        <f>SUM(Y52:Y58)</f>
        <v>107248622.84999999</v>
      </c>
      <c r="Z59" s="169">
        <f t="shared" si="149"/>
        <v>121655933.72000001</v>
      </c>
      <c r="AA59" s="165">
        <f t="shared" ref="AA59" si="150">SUM(AA52:AA58)</f>
        <v>132767322.77</v>
      </c>
      <c r="AB59" s="169">
        <f>SUM(AB52:AB58)</f>
        <v>128984290.75</v>
      </c>
      <c r="AC59" s="32">
        <f t="shared" ref="AC59" si="151">SUM(AC52:AC58)</f>
        <v>130054789.84000003</v>
      </c>
      <c r="AD59" s="169">
        <f t="shared" ref="AD59:AE59" si="152">SUM(AD52:AD58)</f>
        <v>144233333.74000001</v>
      </c>
      <c r="AE59" s="165">
        <f t="shared" si="152"/>
        <v>147758392.44</v>
      </c>
      <c r="AF59" s="169">
        <f t="shared" ref="AF59" si="153">SUM(AF52:AF58)</f>
        <v>128273967.32000001</v>
      </c>
      <c r="AG59" s="32">
        <f t="shared" ref="AG59" si="154">SUM(AG52:AG58)</f>
        <v>127093745.48000002</v>
      </c>
      <c r="AH59" s="169">
        <f t="shared" ref="AH59" si="155">SUM(AH52:AH58)</f>
        <v>130101088.03</v>
      </c>
      <c r="AI59" s="165">
        <f t="shared" ref="AI59" si="156">SUM(AI52:AI58)</f>
        <v>133051795.54999998</v>
      </c>
      <c r="AJ59" s="169">
        <f t="shared" ref="AJ59:AO59" si="157">SUM(AJ52:AJ58)</f>
        <v>107989232.22999999</v>
      </c>
      <c r="AK59" s="32">
        <f t="shared" si="157"/>
        <v>121291690.33999999</v>
      </c>
      <c r="AL59" s="169">
        <f t="shared" si="157"/>
        <v>125130644.97000001</v>
      </c>
      <c r="AM59" s="165">
        <f t="shared" si="157"/>
        <v>141646821.52000001</v>
      </c>
      <c r="AN59" s="33">
        <f t="shared" si="157"/>
        <v>108285480.82999998</v>
      </c>
      <c r="AO59" s="32">
        <f t="shared" si="157"/>
        <v>102573548.19999997</v>
      </c>
      <c r="AP59" s="169">
        <v>107372500.09</v>
      </c>
      <c r="AQ59" s="165">
        <v>130520280.95999999</v>
      </c>
      <c r="AR59" s="124">
        <v>103617585.62</v>
      </c>
      <c r="AS59" s="32">
        <v>93807818.530000001</v>
      </c>
      <c r="AT59" s="31">
        <v>101063600.08</v>
      </c>
      <c r="AU59" s="56">
        <v>106186439.22</v>
      </c>
      <c r="AV59" s="33">
        <v>75730157.260000005</v>
      </c>
      <c r="AW59" s="32">
        <v>74830736.569999993</v>
      </c>
      <c r="AX59" s="33">
        <v>85326363.680000007</v>
      </c>
      <c r="AY59" s="56">
        <v>107391291.83</v>
      </c>
      <c r="AZ59" s="33">
        <v>82216152.840000004</v>
      </c>
      <c r="BA59" s="32">
        <v>71980175.459999993</v>
      </c>
      <c r="BB59" s="33">
        <v>86652051.269999996</v>
      </c>
      <c r="BC59" s="32">
        <v>88792232.159999996</v>
      </c>
    </row>
    <row r="60" spans="1:55" ht="27.9" customHeight="1">
      <c r="A60" s="10" t="s">
        <v>57</v>
      </c>
      <c r="B60" s="169">
        <f t="shared" ref="B60" si="158">SUM(B49,B59)</f>
        <v>151362788.00999999</v>
      </c>
      <c r="C60" s="165">
        <f t="shared" ref="C60" si="159">SUM(C49,C59)</f>
        <v>244799184.89468718</v>
      </c>
      <c r="D60" s="169">
        <f>SUM(D49,D59)</f>
        <v>294059682.00512815</v>
      </c>
      <c r="E60" s="32">
        <f>SUM(E49,E59)</f>
        <v>146807261.05000001</v>
      </c>
      <c r="F60" s="169">
        <f t="shared" ref="F60" si="160">SUM(F49,F59)</f>
        <v>188097419.04999998</v>
      </c>
      <c r="G60" s="165">
        <f t="shared" ref="G60" si="161">SUM(G49,G59)</f>
        <v>196916918.77999997</v>
      </c>
      <c r="H60" s="169">
        <f>SUM(H49,H59)</f>
        <v>197363375.15000001</v>
      </c>
      <c r="I60" s="32">
        <f>SUM(I49,I59)</f>
        <v>143949424.462217</v>
      </c>
      <c r="J60" s="169">
        <f t="shared" ref="J60" si="162">SUM(J49,J59)</f>
        <v>129855650.02000001</v>
      </c>
      <c r="K60" s="165">
        <f t="shared" ref="K60" si="163">SUM(K49,K59)</f>
        <v>132769376.02000001</v>
      </c>
      <c r="L60" s="169">
        <f>SUM(L49,L59)</f>
        <v>107484545.55999999</v>
      </c>
      <c r="M60" s="32">
        <f>SUM(M49,M59)</f>
        <v>116701469.40000001</v>
      </c>
      <c r="N60" s="169">
        <f t="shared" ref="N60" si="164">SUM(N49,N59)</f>
        <v>130521695.49000001</v>
      </c>
      <c r="O60" s="165">
        <f t="shared" ref="O60" si="165">SUM(O49,O59)</f>
        <v>160656620.53</v>
      </c>
      <c r="P60" s="169">
        <f t="shared" ref="P60" si="166">SUM(P49,P59)</f>
        <v>137259279.09999999</v>
      </c>
      <c r="Q60" s="32">
        <f>SUM(Q49,Q59)</f>
        <v>118022914.63999999</v>
      </c>
      <c r="R60" s="169">
        <f t="shared" ref="R60" si="167">SUM(R49,R59)</f>
        <v>122311208.37</v>
      </c>
      <c r="S60" s="165">
        <f t="shared" ref="S60" si="168">SUM(S49,S59)</f>
        <v>156282322.94</v>
      </c>
      <c r="T60" s="169">
        <f t="shared" ref="T60:U60" si="169">SUM(T49,T59)</f>
        <v>147560338.17000002</v>
      </c>
      <c r="U60" s="32">
        <f t="shared" si="169"/>
        <v>123101509.74000001</v>
      </c>
      <c r="V60" s="169">
        <f t="shared" ref="V60" si="170">SUM(V49,V59)</f>
        <v>153068722.36000001</v>
      </c>
      <c r="W60" s="165">
        <f t="shared" ref="W60" si="171">SUM(W49,W59)</f>
        <v>185215661.58999997</v>
      </c>
      <c r="X60" s="169">
        <f t="shared" ref="X60:Z60" si="172">SUM(X49,X59)</f>
        <v>184011700.34999996</v>
      </c>
      <c r="Y60" s="32">
        <f t="shared" ref="Y60:AA60" si="173">SUM(Y49,Y59)</f>
        <v>160334140.18000001</v>
      </c>
      <c r="Z60" s="169">
        <f t="shared" si="172"/>
        <v>176194261.97000003</v>
      </c>
      <c r="AA60" s="165">
        <f t="shared" si="173"/>
        <v>185338525.68000001</v>
      </c>
      <c r="AB60" s="169">
        <f>SUM(AB49,AB59)</f>
        <v>179111682.90555501</v>
      </c>
      <c r="AC60" s="32">
        <f t="shared" ref="AC60" si="174">SUM(AC49,AC59)</f>
        <v>179536019.97000003</v>
      </c>
      <c r="AD60" s="169">
        <f t="shared" ref="AD60:AE60" si="175">SUM(AD49,AD59)</f>
        <v>191575512.56999999</v>
      </c>
      <c r="AE60" s="165">
        <f t="shared" si="175"/>
        <v>193461114.56</v>
      </c>
      <c r="AF60" s="169">
        <f t="shared" ref="AF60" si="176">SUM(AF49,AF59)</f>
        <v>169659778.27000001</v>
      </c>
      <c r="AG60" s="32">
        <f t="shared" ref="AG60" si="177">SUM(AG49,AG59)</f>
        <v>167114771.81</v>
      </c>
      <c r="AH60" s="169">
        <f t="shared" ref="AH60" si="178">SUM(AH49,AH59)</f>
        <v>168354727.68000001</v>
      </c>
      <c r="AI60" s="165">
        <f t="shared" ref="AI60" si="179">SUM(AI49,AI59)</f>
        <v>172496189.11999997</v>
      </c>
      <c r="AJ60" s="169">
        <f t="shared" ref="AJ60:AO60" si="180">SUM(AJ49,AJ59)</f>
        <v>150150154.74839997</v>
      </c>
      <c r="AK60" s="32">
        <f t="shared" si="180"/>
        <v>164858557.58999997</v>
      </c>
      <c r="AL60" s="169">
        <f t="shared" si="180"/>
        <v>173636311.21000001</v>
      </c>
      <c r="AM60" s="165">
        <f t="shared" si="180"/>
        <v>186222285.76000002</v>
      </c>
      <c r="AN60" s="33">
        <f t="shared" si="180"/>
        <v>154268033.13</v>
      </c>
      <c r="AO60" s="32">
        <f t="shared" si="180"/>
        <v>154989294.85999998</v>
      </c>
      <c r="AP60" s="169">
        <v>155892252.93000001</v>
      </c>
      <c r="AQ60" s="165">
        <v>178376609.58000001</v>
      </c>
      <c r="AR60" s="124">
        <v>151156869.62</v>
      </c>
      <c r="AS60" s="32">
        <v>144719061.09</v>
      </c>
      <c r="AT60" s="31">
        <v>150295512.16999999</v>
      </c>
      <c r="AU60" s="56">
        <v>158618951.88</v>
      </c>
      <c r="AV60" s="33">
        <v>122497566.42</v>
      </c>
      <c r="AW60" s="32">
        <v>105588755.31999999</v>
      </c>
      <c r="AX60" s="33">
        <v>115356244.02</v>
      </c>
      <c r="AY60" s="56">
        <v>139428096.15000001</v>
      </c>
      <c r="AZ60" s="33">
        <v>113040483.81</v>
      </c>
      <c r="BA60" s="32">
        <v>106548147.31</v>
      </c>
      <c r="BB60" s="33">
        <v>121374144.62</v>
      </c>
      <c r="BC60" s="32">
        <v>127366847.17</v>
      </c>
    </row>
    <row r="61" spans="1:55" ht="27.9" customHeight="1">
      <c r="A61" s="11" t="s">
        <v>58</v>
      </c>
      <c r="B61" s="170">
        <f>SUM(B41,B60)</f>
        <v>671455465.30999994</v>
      </c>
      <c r="C61" s="166">
        <f>SUM(C41,C60)</f>
        <v>719812958.48468709</v>
      </c>
      <c r="D61" s="170">
        <f>SUM(D41,D60)</f>
        <v>756866398.83512807</v>
      </c>
      <c r="E61" s="38">
        <f>SUM(E41,E60)</f>
        <v>582996665.6400001</v>
      </c>
      <c r="F61" s="170">
        <f>SUM(F41,F60)</f>
        <v>579554825.88999999</v>
      </c>
      <c r="G61" s="166">
        <f t="shared" ref="G61" si="181">SUM(G41,G60)</f>
        <v>574181845.89999998</v>
      </c>
      <c r="H61" s="170">
        <f>SUM(H41,H60)</f>
        <v>560300970.57000005</v>
      </c>
      <c r="I61" s="38">
        <f>SUM(I41,I60)</f>
        <v>468236234.26221704</v>
      </c>
      <c r="J61" s="170">
        <f t="shared" ref="J61" si="182">SUM(J41,J60)</f>
        <v>451700734.17999995</v>
      </c>
      <c r="K61" s="166">
        <f t="shared" ref="K61" si="183">SUM(K41,K60)</f>
        <v>452531276.51999998</v>
      </c>
      <c r="L61" s="170">
        <f>SUM(L41,L60)</f>
        <v>424396347.44999999</v>
      </c>
      <c r="M61" s="38">
        <f>SUM(M41,M60)</f>
        <v>437030375</v>
      </c>
      <c r="N61" s="170">
        <f t="shared" ref="N61" si="184">SUM(N41,N60)</f>
        <v>448941427.43000001</v>
      </c>
      <c r="O61" s="166">
        <f t="shared" ref="O61" si="185">SUM(O41,O60)</f>
        <v>466856490.96000004</v>
      </c>
      <c r="P61" s="170">
        <f t="shared" ref="P61" si="186">SUM(P41,P60)</f>
        <v>432327935.08999991</v>
      </c>
      <c r="Q61" s="38">
        <f>SUM(Q41,Q60)</f>
        <v>411303573.01000005</v>
      </c>
      <c r="R61" s="170">
        <f t="shared" ref="R61" si="187">SUM(R41,R60)</f>
        <v>411212386.45999998</v>
      </c>
      <c r="S61" s="166">
        <f t="shared" ref="S61" si="188">SUM(S41,S60)</f>
        <v>436594242.93000001</v>
      </c>
      <c r="T61" s="170">
        <f t="shared" ref="T61:U61" si="189">SUM(T41,T60)</f>
        <v>418897783.13</v>
      </c>
      <c r="U61" s="38">
        <f t="shared" si="189"/>
        <v>392536297.03000003</v>
      </c>
      <c r="V61" s="170">
        <f t="shared" ref="V61" si="190">SUM(V41,V60)</f>
        <v>419528307.20999998</v>
      </c>
      <c r="W61" s="166">
        <f t="shared" ref="W61" si="191">SUM(W41,W60)</f>
        <v>437190327.37</v>
      </c>
      <c r="X61" s="170">
        <f t="shared" ref="X61:Z61" si="192">SUM(X41,X60)</f>
        <v>423916350.87</v>
      </c>
      <c r="Y61" s="38">
        <f t="shared" ref="Y61:AA61" si="193">SUM(Y41,Y60)</f>
        <v>395793572.69</v>
      </c>
      <c r="Z61" s="170">
        <f t="shared" si="192"/>
        <v>411654755.5</v>
      </c>
      <c r="AA61" s="166">
        <f t="shared" si="193"/>
        <v>406248925.44000006</v>
      </c>
      <c r="AB61" s="170">
        <f t="shared" ref="AB61:AC61" si="194">SUM(AB41,AB60)</f>
        <v>396875415.19555503</v>
      </c>
      <c r="AC61" s="38">
        <f t="shared" si="194"/>
        <v>393399096.81000006</v>
      </c>
      <c r="AD61" s="170">
        <f t="shared" ref="AD61:AE61" si="195">SUM(AD41,AD60)</f>
        <v>408414284.8780998</v>
      </c>
      <c r="AE61" s="166">
        <f t="shared" si="195"/>
        <v>411592033.9396615</v>
      </c>
      <c r="AF61" s="170">
        <f t="shared" ref="AF61" si="196">SUM(AF41,AF60)</f>
        <v>381565406.46917558</v>
      </c>
      <c r="AG61" s="38">
        <f t="shared" ref="AG61" si="197">SUM(AG41,AG60)</f>
        <v>382028593.51111114</v>
      </c>
      <c r="AH61" s="170">
        <f t="shared" ref="AH61" si="198">SUM(AH41,AH60)</f>
        <v>383189842.0968076</v>
      </c>
      <c r="AI61" s="166">
        <f t="shared" ref="AI61" si="199">SUM(AI41,AI60)</f>
        <v>386610914.87514675</v>
      </c>
      <c r="AJ61" s="170">
        <f t="shared" ref="AJ61:AO61" si="200">SUM(AJ41,AJ60)</f>
        <v>360910954.96176863</v>
      </c>
      <c r="AK61" s="38">
        <f t="shared" si="200"/>
        <v>370479304.82370698</v>
      </c>
      <c r="AL61" s="170">
        <f t="shared" si="200"/>
        <v>382531688.41999996</v>
      </c>
      <c r="AM61" s="166">
        <f t="shared" si="200"/>
        <v>389116830.48000002</v>
      </c>
      <c r="AN61" s="39">
        <f t="shared" si="200"/>
        <v>354877392.49000001</v>
      </c>
      <c r="AO61" s="38">
        <f t="shared" si="200"/>
        <v>357434193.40999997</v>
      </c>
      <c r="AP61" s="170">
        <v>364805086.13</v>
      </c>
      <c r="AQ61" s="166">
        <v>380992424.24000001</v>
      </c>
      <c r="AR61" s="125">
        <v>351151367.77999997</v>
      </c>
      <c r="AS61" s="38">
        <v>343204281.51999998</v>
      </c>
      <c r="AT61" s="37">
        <v>349891429.37</v>
      </c>
      <c r="AU61" s="88">
        <v>349282331.81</v>
      </c>
      <c r="AV61" s="39">
        <v>307448754.75</v>
      </c>
      <c r="AW61" s="38">
        <v>293979653.92000002</v>
      </c>
      <c r="AX61" s="39">
        <v>302888485.00999999</v>
      </c>
      <c r="AY61" s="88">
        <v>321698876.67000002</v>
      </c>
      <c r="AZ61" s="39">
        <v>292167224.08999997</v>
      </c>
      <c r="BA61" s="38">
        <v>283247704.67000002</v>
      </c>
      <c r="BB61" s="39">
        <v>299304796.69999999</v>
      </c>
      <c r="BC61" s="38">
        <v>302780126.38</v>
      </c>
    </row>
    <row r="62" spans="1:55" ht="24" customHeight="1">
      <c r="A62" s="12"/>
      <c r="B62" s="5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71"/>
      <c r="S62" s="171"/>
    </row>
    <row r="63" spans="1:55" ht="21">
      <c r="B63" s="267"/>
      <c r="F63" s="267"/>
      <c r="I63" s="267"/>
      <c r="L63" s="129"/>
      <c r="N63" s="267"/>
      <c r="P63" s="129"/>
      <c r="Q63" s="171"/>
      <c r="S63" s="171"/>
    </row>
    <row r="64" spans="1:55">
      <c r="A64" t="s">
        <v>263</v>
      </c>
      <c r="B64" s="267"/>
      <c r="C64" s="267"/>
      <c r="D64" s="267"/>
      <c r="F64" s="267"/>
      <c r="H64" s="267"/>
      <c r="J64" s="267"/>
      <c r="M64" s="267"/>
      <c r="S64" s="171"/>
    </row>
    <row r="66" spans="2:45" ht="14.4"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267"/>
    </row>
    <row r="70" spans="2:45" ht="14.4"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  <c r="AN70" s="267"/>
      <c r="AO70" s="267"/>
      <c r="AP70" s="267"/>
      <c r="AQ70" s="267"/>
      <c r="AR70" s="267"/>
      <c r="AS70" s="267"/>
    </row>
    <row r="71" spans="2:45" ht="14.4"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  <c r="AN71" s="267"/>
      <c r="AO71" s="267"/>
      <c r="AP71" s="267"/>
      <c r="AQ71" s="267"/>
      <c r="AR71" s="267"/>
      <c r="AS71" s="267"/>
    </row>
    <row r="72" spans="2:45" ht="14.4"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</row>
    <row r="73" spans="2:45">
      <c r="F73" s="267"/>
    </row>
  </sheetData>
  <pageMargins left="0.19685039370078741" right="0" top="0.19685039370078741" bottom="0.19685039370078741" header="0" footer="0"/>
  <pageSetup paperSize="9" scale="22" orientation="landscape" horizontalDpi="4294967293" verticalDpi="4294967293" r:id="rId1"/>
  <headerFooter>
    <oddFooter>&amp;RREDWOOD PR
powered by PROFESCAPITAL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CB39"/>
  <sheetViews>
    <sheetView showGridLines="0" zoomScale="60" zoomScaleNormal="60" zoomScaleSheetLayoutView="30" zoomScalePageLayoutView="80" workbookViewId="0">
      <pane xSplit="1" ySplit="5" topLeftCell="B15" activePane="bottomRight" state="frozen"/>
      <selection activeCell="J51" sqref="J51"/>
      <selection pane="topRight" activeCell="J51" sqref="J51"/>
      <selection pane="bottomLeft" activeCell="J51" sqref="J51"/>
      <selection pane="bottomRight" activeCell="B18" sqref="B18"/>
    </sheetView>
  </sheetViews>
  <sheetFormatPr defaultRowHeight="18"/>
  <cols>
    <col min="1" max="1" width="109.33203125" customWidth="1"/>
    <col min="2" max="2" width="25.6640625" customWidth="1"/>
    <col min="3" max="3" width="21.6640625" customWidth="1"/>
    <col min="4" max="4" width="25.109375" customWidth="1"/>
    <col min="5" max="5" width="25" customWidth="1"/>
    <col min="6" max="6" width="29" customWidth="1"/>
    <col min="7" max="7" width="21.6640625" customWidth="1"/>
    <col min="8" max="8" width="25.109375" customWidth="1"/>
    <col min="9" max="9" width="25" customWidth="1"/>
    <col min="10" max="16" width="21.6640625" customWidth="1"/>
    <col min="17" max="17" width="21.5546875" customWidth="1"/>
    <col min="18" max="18" width="21.5546875" style="9" customWidth="1"/>
    <col min="19" max="19" width="21.6640625" customWidth="1"/>
    <col min="20" max="20" width="21.6640625" style="9" customWidth="1"/>
    <col min="21" max="58" width="21.6640625" customWidth="1"/>
    <col min="59" max="62" width="17" bestFit="1" customWidth="1"/>
    <col min="63" max="63" width="16.5546875" customWidth="1"/>
    <col min="64" max="64" width="16.6640625" customWidth="1"/>
    <col min="65" max="65" width="18.109375" customWidth="1"/>
    <col min="66" max="66" width="18" customWidth="1"/>
  </cols>
  <sheetData>
    <row r="1" spans="1:80" ht="50.1" customHeight="1">
      <c r="A1" s="337" t="s">
        <v>141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130"/>
      <c r="M1" s="130"/>
      <c r="N1" s="130"/>
      <c r="O1" s="130"/>
      <c r="P1" s="130"/>
      <c r="Q1" s="130"/>
      <c r="R1" s="167"/>
      <c r="S1" s="130"/>
      <c r="T1" s="167"/>
      <c r="U1" s="130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</row>
    <row r="2" spans="1:80" ht="24.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68"/>
      <c r="S2" s="4"/>
      <c r="T2" s="168"/>
      <c r="U2" s="4"/>
    </row>
    <row r="3" spans="1:80" ht="27.9" customHeight="1">
      <c r="A3" s="344" t="s">
        <v>137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AJ3" s="527" t="s">
        <v>139</v>
      </c>
      <c r="AK3" s="527"/>
      <c r="AL3" s="527"/>
      <c r="AM3" s="527"/>
      <c r="AN3" s="527"/>
      <c r="AO3" s="527"/>
      <c r="AP3" s="527"/>
      <c r="AQ3" s="148"/>
      <c r="AR3" s="148"/>
      <c r="AS3" s="148"/>
      <c r="AT3" s="148"/>
      <c r="AU3" s="336"/>
    </row>
    <row r="4" spans="1:80" ht="22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 s="12"/>
      <c r="U4" s="40"/>
      <c r="V4" s="40"/>
      <c r="W4" s="40"/>
      <c r="X4" s="40"/>
      <c r="Y4" s="40"/>
      <c r="Z4" s="40"/>
      <c r="AA4" s="40"/>
      <c r="AB4" s="40"/>
      <c r="AC4" s="40"/>
      <c r="AD4" s="40"/>
      <c r="AE4" s="9"/>
      <c r="AF4" s="9"/>
      <c r="AG4" s="240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</row>
    <row r="5" spans="1:80" ht="27.9" customHeight="1">
      <c r="A5" s="13"/>
      <c r="B5" s="41" t="s">
        <v>287</v>
      </c>
      <c r="C5" s="43" t="s">
        <v>285</v>
      </c>
      <c r="D5" s="41" t="s">
        <v>283</v>
      </c>
      <c r="E5" s="42" t="s">
        <v>278</v>
      </c>
      <c r="F5" s="41" t="s">
        <v>276</v>
      </c>
      <c r="G5" s="43" t="s">
        <v>274</v>
      </c>
      <c r="H5" s="41" t="s">
        <v>273</v>
      </c>
      <c r="I5" s="42" t="s">
        <v>268</v>
      </c>
      <c r="J5" s="41" t="s">
        <v>266</v>
      </c>
      <c r="K5" s="43" t="s">
        <v>264</v>
      </c>
      <c r="L5" s="41" t="s">
        <v>256</v>
      </c>
      <c r="M5" s="42" t="s">
        <v>252</v>
      </c>
      <c r="N5" s="41" t="s">
        <v>249</v>
      </c>
      <c r="O5" s="43" t="s">
        <v>247</v>
      </c>
      <c r="P5" s="41" t="s">
        <v>245</v>
      </c>
      <c r="Q5" s="42" t="s">
        <v>241</v>
      </c>
      <c r="R5" s="41" t="s">
        <v>239</v>
      </c>
      <c r="S5" s="43" t="s">
        <v>237</v>
      </c>
      <c r="T5" s="41" t="s">
        <v>235</v>
      </c>
      <c r="U5" s="42" t="s">
        <v>230</v>
      </c>
      <c r="V5" s="41" t="s">
        <v>227</v>
      </c>
      <c r="W5" s="43" t="s">
        <v>225</v>
      </c>
      <c r="X5" s="41" t="s">
        <v>220</v>
      </c>
      <c r="Y5" s="42" t="s">
        <v>216</v>
      </c>
      <c r="Z5" s="41" t="s">
        <v>214</v>
      </c>
      <c r="AA5" s="43" t="s">
        <v>212</v>
      </c>
      <c r="AB5" s="41" t="s">
        <v>208</v>
      </c>
      <c r="AC5" s="42" t="s">
        <v>206</v>
      </c>
      <c r="AD5" s="41" t="s">
        <v>203</v>
      </c>
      <c r="AE5" s="43" t="s">
        <v>202</v>
      </c>
      <c r="AF5" s="41" t="s">
        <v>201</v>
      </c>
      <c r="AG5" s="42" t="s">
        <v>198</v>
      </c>
      <c r="AH5" s="41" t="s">
        <v>192</v>
      </c>
      <c r="AI5" s="43" t="s">
        <v>190</v>
      </c>
      <c r="AJ5" s="41" t="s">
        <v>196</v>
      </c>
      <c r="AK5" s="42" t="s">
        <v>187</v>
      </c>
      <c r="AL5" s="41" t="s">
        <v>185</v>
      </c>
      <c r="AM5" s="43" t="s">
        <v>183</v>
      </c>
      <c r="AN5" s="24" t="s">
        <v>181</v>
      </c>
      <c r="AO5" s="42" t="s">
        <v>179</v>
      </c>
      <c r="AP5" s="41" t="s">
        <v>175</v>
      </c>
      <c r="AQ5" s="43" t="s">
        <v>155</v>
      </c>
      <c r="AR5" s="41" t="s">
        <v>114</v>
      </c>
      <c r="AS5" s="42" t="s">
        <v>14</v>
      </c>
      <c r="AT5" s="41" t="s">
        <v>15</v>
      </c>
      <c r="AU5" s="43" t="s">
        <v>16</v>
      </c>
      <c r="AV5" s="41" t="s">
        <v>17</v>
      </c>
      <c r="AW5" s="42" t="s">
        <v>18</v>
      </c>
      <c r="AX5" s="41" t="s">
        <v>19</v>
      </c>
      <c r="AY5" s="43" t="s">
        <v>20</v>
      </c>
      <c r="AZ5" s="41" t="s">
        <v>21</v>
      </c>
      <c r="BA5" s="17" t="s">
        <v>22</v>
      </c>
      <c r="BB5" s="24" t="s">
        <v>23</v>
      </c>
      <c r="BC5" s="241" t="s">
        <v>24</v>
      </c>
      <c r="BD5" s="247" t="s">
        <v>202</v>
      </c>
      <c r="BE5" s="17" t="s">
        <v>200</v>
      </c>
      <c r="BF5" s="18" t="s">
        <v>199</v>
      </c>
      <c r="BG5" s="17" t="s">
        <v>193</v>
      </c>
      <c r="BH5" s="247" t="s">
        <v>190</v>
      </c>
      <c r="BI5" s="17" t="s">
        <v>189</v>
      </c>
      <c r="BJ5" s="18" t="s">
        <v>188</v>
      </c>
      <c r="BK5" s="17" t="s">
        <v>186</v>
      </c>
      <c r="BL5" s="247" t="s">
        <v>183</v>
      </c>
      <c r="BM5" s="220" t="s">
        <v>182</v>
      </c>
      <c r="BN5" s="18" t="s">
        <v>180</v>
      </c>
      <c r="BO5" s="17" t="s">
        <v>177</v>
      </c>
      <c r="BP5" s="179" t="s">
        <v>155</v>
      </c>
      <c r="BQ5" s="17" t="s">
        <v>115</v>
      </c>
      <c r="BR5" s="18" t="s">
        <v>25</v>
      </c>
      <c r="BS5" s="17" t="s">
        <v>26</v>
      </c>
      <c r="BT5" s="160" t="s">
        <v>16</v>
      </c>
      <c r="BU5" s="17" t="s">
        <v>27</v>
      </c>
      <c r="BV5" s="18" t="s">
        <v>28</v>
      </c>
      <c r="BW5" s="17" t="s">
        <v>29</v>
      </c>
      <c r="BX5" s="160" t="s">
        <v>20</v>
      </c>
      <c r="BY5" s="17" t="s">
        <v>30</v>
      </c>
      <c r="BZ5" s="18" t="s">
        <v>31</v>
      </c>
      <c r="CA5" s="17" t="s">
        <v>32</v>
      </c>
      <c r="CB5" s="18" t="s">
        <v>24</v>
      </c>
    </row>
    <row r="6" spans="1:80" ht="27.9" customHeight="1">
      <c r="A6" s="14" t="s">
        <v>0</v>
      </c>
      <c r="B6" s="222">
        <v>312045044.82999998</v>
      </c>
      <c r="C6" s="46">
        <v>107620258.90000001</v>
      </c>
      <c r="D6" s="222">
        <v>510226718.13999999</v>
      </c>
      <c r="E6" s="45">
        <v>358462915.00999999</v>
      </c>
      <c r="F6" s="222">
        <v>204989521.72</v>
      </c>
      <c r="G6" s="46">
        <v>100905881.42</v>
      </c>
      <c r="H6" s="222">
        <v>377613120.70000005</v>
      </c>
      <c r="I6" s="45">
        <v>201321865.16000003</v>
      </c>
      <c r="J6" s="222">
        <v>139324576.63999999</v>
      </c>
      <c r="K6" s="46">
        <v>72348224.159999996</v>
      </c>
      <c r="L6" s="222">
        <v>332005164.51999998</v>
      </c>
      <c r="M6" s="45">
        <v>256070625.66999999</v>
      </c>
      <c r="N6" s="222">
        <v>196735421.34</v>
      </c>
      <c r="O6" s="46">
        <v>102345034.31999999</v>
      </c>
      <c r="P6" s="222">
        <v>265433420.31999999</v>
      </c>
      <c r="Q6" s="45">
        <v>191493501.77000001</v>
      </c>
      <c r="R6" s="222">
        <v>135474836.49000001</v>
      </c>
      <c r="S6" s="46">
        <v>68763977.370000005</v>
      </c>
      <c r="T6" s="222">
        <v>237679982.62</v>
      </c>
      <c r="U6" s="45">
        <v>186775680.75999999</v>
      </c>
      <c r="V6" s="222">
        <v>144484192.19</v>
      </c>
      <c r="W6" s="46">
        <v>78907905.900000006</v>
      </c>
      <c r="X6" s="222">
        <v>258122745.12</v>
      </c>
      <c r="Y6" s="45">
        <v>181927842.88</v>
      </c>
      <c r="Z6" s="222">
        <v>141812792.38999999</v>
      </c>
      <c r="AA6" s="46">
        <v>69986853.659999996</v>
      </c>
      <c r="AB6" s="222">
        <v>239550638.00671077</v>
      </c>
      <c r="AC6" s="45">
        <v>172381977.41999999</v>
      </c>
      <c r="AD6" s="222">
        <v>130721907.97000003</v>
      </c>
      <c r="AE6" s="46">
        <v>70092410.280000001</v>
      </c>
      <c r="AF6" s="222">
        <v>230801459.26999998</v>
      </c>
      <c r="AG6" s="45">
        <v>171083494.97</v>
      </c>
      <c r="AH6" s="222">
        <v>122040460.5</v>
      </c>
      <c r="AI6" s="46">
        <v>58950474.310000017</v>
      </c>
      <c r="AJ6" s="222">
        <v>273976695.73000002</v>
      </c>
      <c r="AK6" s="45">
        <v>188101083.21999997</v>
      </c>
      <c r="AL6" s="222">
        <v>145402173.28999999</v>
      </c>
      <c r="AM6" s="46">
        <v>69435907.829999998</v>
      </c>
      <c r="AN6" s="222">
        <v>240195613.97</v>
      </c>
      <c r="AO6" s="45">
        <v>181844761.28</v>
      </c>
      <c r="AP6" s="222">
        <v>139189268.88</v>
      </c>
      <c r="AQ6" s="46">
        <v>68176646.359999999</v>
      </c>
      <c r="AR6" s="127">
        <v>236132659.59</v>
      </c>
      <c r="AS6" s="45">
        <v>189746508.30000001</v>
      </c>
      <c r="AT6" s="44">
        <v>141115681.33000001</v>
      </c>
      <c r="AU6" s="46">
        <v>70254992.079999998</v>
      </c>
      <c r="AV6" s="44">
        <v>210800526.28</v>
      </c>
      <c r="AW6" s="45">
        <v>166442197.66</v>
      </c>
      <c r="AX6" s="44">
        <v>128555990.25</v>
      </c>
      <c r="AY6" s="46">
        <v>59222835.649999999</v>
      </c>
      <c r="AZ6" s="44">
        <v>190088429.09999999</v>
      </c>
      <c r="BA6" s="45">
        <v>150801072.02000001</v>
      </c>
      <c r="BB6" s="44">
        <v>115834433.11</v>
      </c>
      <c r="BC6" s="242">
        <v>54813978.990000002</v>
      </c>
      <c r="BD6" s="248">
        <f>AE6</f>
        <v>70092410.280000001</v>
      </c>
      <c r="BE6" s="45">
        <f>AF6-AG6</f>
        <v>59717964.299999982</v>
      </c>
      <c r="BF6" s="54">
        <f>AG6-AH6</f>
        <v>49043034.469999999</v>
      </c>
      <c r="BG6" s="45">
        <f>AH6-AI6</f>
        <v>63089986.189999983</v>
      </c>
      <c r="BH6" s="248">
        <f>AI6</f>
        <v>58950474.310000017</v>
      </c>
      <c r="BI6" s="45">
        <f>AJ6-AK6</f>
        <v>85875612.51000005</v>
      </c>
      <c r="BJ6" s="54">
        <f>AK6-AL6</f>
        <v>42698909.929999977</v>
      </c>
      <c r="BK6" s="45">
        <f>AL6-AM6</f>
        <v>75966265.459999993</v>
      </c>
      <c r="BL6" s="248">
        <v>69435907.829999998</v>
      </c>
      <c r="BM6" s="339">
        <f>AN6-AO6</f>
        <v>58350852.689999998</v>
      </c>
      <c r="BN6" s="54">
        <f>AO6-AP6</f>
        <v>42655492.400000006</v>
      </c>
      <c r="BO6" s="45">
        <f>AP6-AQ6</f>
        <v>71012622.519999996</v>
      </c>
      <c r="BP6" s="180">
        <v>68176646.359999999</v>
      </c>
      <c r="BQ6" s="53">
        <v>46386151.289999992</v>
      </c>
      <c r="BR6" s="54">
        <v>48630826.969999999</v>
      </c>
      <c r="BS6" s="53">
        <v>70860689.250000015</v>
      </c>
      <c r="BT6" s="161">
        <v>70254992.079999998</v>
      </c>
      <c r="BU6" s="53">
        <v>44358328.620000005</v>
      </c>
      <c r="BV6" s="54">
        <v>37886207.409999996</v>
      </c>
      <c r="BW6" s="53">
        <v>69333154.599999994</v>
      </c>
      <c r="BX6" s="161">
        <v>59222835.649999999</v>
      </c>
      <c r="BY6" s="53">
        <v>39287357.079999983</v>
      </c>
      <c r="BZ6" s="54">
        <v>34966638.910000011</v>
      </c>
      <c r="CA6" s="53">
        <v>61020454.119999997</v>
      </c>
      <c r="CB6" s="54">
        <v>54813978.990000002</v>
      </c>
    </row>
    <row r="7" spans="1:80" ht="27.9" customHeight="1">
      <c r="A7" s="7" t="s">
        <v>62</v>
      </c>
      <c r="B7" s="30">
        <v>-202125888.81</v>
      </c>
      <c r="C7" s="48">
        <v>-77191926.263549179</v>
      </c>
      <c r="D7" s="30">
        <v>-305312769.50261617</v>
      </c>
      <c r="E7" s="23">
        <v>-214341377.33000001</v>
      </c>
      <c r="F7" s="30">
        <v>-137859759.65000001</v>
      </c>
      <c r="G7" s="48">
        <v>-68948587.599999994</v>
      </c>
      <c r="H7" s="30">
        <v>-260331028.53522822</v>
      </c>
      <c r="I7" s="23">
        <v>-153113678.98078588</v>
      </c>
      <c r="J7" s="30">
        <v>-112041892.16</v>
      </c>
      <c r="K7" s="48">
        <v>-61225694.700000003</v>
      </c>
      <c r="L7" s="30">
        <v>-238827587.81999999</v>
      </c>
      <c r="M7" s="23">
        <v>-183479759.38</v>
      </c>
      <c r="N7" s="30">
        <v>-138968108.58000001</v>
      </c>
      <c r="O7" s="48">
        <v>-75080366.769999996</v>
      </c>
      <c r="P7" s="30">
        <v>-186783780.03</v>
      </c>
      <c r="Q7" s="23">
        <v>-131472946.81</v>
      </c>
      <c r="R7" s="30">
        <v>-92257009.980000004</v>
      </c>
      <c r="S7" s="48">
        <v>-48343491.600000001</v>
      </c>
      <c r="T7" s="30">
        <v>-158435669.28</v>
      </c>
      <c r="U7" s="23">
        <v>-121303845.26000001</v>
      </c>
      <c r="V7" s="30">
        <v>-92387972.780000001</v>
      </c>
      <c r="W7" s="48">
        <v>-53704982.509999998</v>
      </c>
      <c r="X7" s="30">
        <v>-193282769.78</v>
      </c>
      <c r="Y7" s="23">
        <v>-139581738.56999999</v>
      </c>
      <c r="Z7" s="30">
        <v>-108776201.88</v>
      </c>
      <c r="AA7" s="48">
        <v>-55864277.390000001</v>
      </c>
      <c r="AB7" s="30">
        <v>-192404633.59552428</v>
      </c>
      <c r="AC7" s="23">
        <v>-138638745.94</v>
      </c>
      <c r="AD7" s="30">
        <v>-102894418.72107585</v>
      </c>
      <c r="AE7" s="48">
        <v>-51767006.809514217</v>
      </c>
      <c r="AF7" s="30">
        <v>-180377427.02212432</v>
      </c>
      <c r="AG7" s="23">
        <v>-132012413.23018889</v>
      </c>
      <c r="AH7" s="30">
        <v>-95668491.314492375</v>
      </c>
      <c r="AI7" s="48">
        <v>-45530448.602953292</v>
      </c>
      <c r="AJ7" s="30">
        <v>-211957917.67687988</v>
      </c>
      <c r="AK7" s="23">
        <v>-151931048.68244162</v>
      </c>
      <c r="AL7" s="30">
        <v>-113775016.84</v>
      </c>
      <c r="AM7" s="48">
        <v>-55570811.829999998</v>
      </c>
      <c r="AN7" s="30">
        <v>-204745685.84</v>
      </c>
      <c r="AO7" s="23">
        <v>-154288568.33000001</v>
      </c>
      <c r="AP7" s="30">
        <v>-113239632.48999999</v>
      </c>
      <c r="AQ7" s="48">
        <v>-56163373.600000001</v>
      </c>
      <c r="AR7" s="126">
        <v>-186312592.68000001</v>
      </c>
      <c r="AS7" s="23">
        <v>-145869718.24000001</v>
      </c>
      <c r="AT7" s="47">
        <v>-106025493.31</v>
      </c>
      <c r="AU7" s="48">
        <v>-55916183.399999999</v>
      </c>
      <c r="AV7" s="47">
        <v>-170410855.63</v>
      </c>
      <c r="AW7" s="23">
        <v>-130427359.8</v>
      </c>
      <c r="AX7" s="47">
        <v>-98693777.319999993</v>
      </c>
      <c r="AY7" s="48">
        <v>-44636671.740000002</v>
      </c>
      <c r="AZ7" s="47">
        <v>-150553069.5</v>
      </c>
      <c r="BA7" s="23">
        <v>-119919675.23999999</v>
      </c>
      <c r="BB7" s="47">
        <v>-90344812.459999993</v>
      </c>
      <c r="BC7" s="243">
        <v>-42188508.210000001</v>
      </c>
      <c r="BD7" s="249">
        <f>AE7</f>
        <v>-51767006.809514217</v>
      </c>
      <c r="BE7" s="23">
        <f t="shared" ref="BE7:BK23" si="0">AF7-AG7</f>
        <v>-48365013.791935429</v>
      </c>
      <c r="BF7" s="28">
        <f>AG7-AH7</f>
        <v>-36343921.915696517</v>
      </c>
      <c r="BG7" s="23">
        <f t="shared" si="0"/>
        <v>-50138042.711539082</v>
      </c>
      <c r="BH7" s="249">
        <f>AI7</f>
        <v>-45530448.602953292</v>
      </c>
      <c r="BI7" s="23">
        <f t="shared" si="0"/>
        <v>-60026868.994438261</v>
      </c>
      <c r="BJ7" s="28">
        <f>AK7-AL7</f>
        <v>-38156031.842441618</v>
      </c>
      <c r="BK7" s="23">
        <f t="shared" si="0"/>
        <v>-58204205.010000005</v>
      </c>
      <c r="BL7" s="249">
        <v>-55570811.829999998</v>
      </c>
      <c r="BM7" s="340">
        <f>AN7-AO7</f>
        <v>-50457117.50999999</v>
      </c>
      <c r="BN7" s="28">
        <f>AO7-AP7</f>
        <v>-41048935.840000018</v>
      </c>
      <c r="BO7" s="23">
        <f t="shared" ref="BO7:BO23" si="1">AP7-AQ7</f>
        <v>-57076258.889999993</v>
      </c>
      <c r="BP7" s="181">
        <v>-56163373.600000001</v>
      </c>
      <c r="BQ7" s="29">
        <v>-40442874.439999998</v>
      </c>
      <c r="BR7" s="28">
        <v>-39844224.930000007</v>
      </c>
      <c r="BS7" s="29">
        <v>-50109309.910000004</v>
      </c>
      <c r="BT7" s="158">
        <v>-55916183.399999999</v>
      </c>
      <c r="BU7" s="29">
        <v>-39983495.829999998</v>
      </c>
      <c r="BV7" s="28">
        <v>-31733582.480000004</v>
      </c>
      <c r="BW7" s="29">
        <v>-54057105.579999991</v>
      </c>
      <c r="BX7" s="158">
        <v>-44636671.740000002</v>
      </c>
      <c r="BY7" s="29">
        <v>-30633394.260000005</v>
      </c>
      <c r="BZ7" s="28">
        <v>-29574862.780000001</v>
      </c>
      <c r="CA7" s="29">
        <v>-48156304.249999993</v>
      </c>
      <c r="CB7" s="28">
        <v>-42188508.210000001</v>
      </c>
    </row>
    <row r="8" spans="1:80" ht="27.9" customHeight="1">
      <c r="A8" s="6" t="s">
        <v>3</v>
      </c>
      <c r="B8" s="33">
        <f t="shared" ref="B8" si="2">SUM(B6:B7)</f>
        <v>109919156.01999998</v>
      </c>
      <c r="C8" s="51">
        <f t="shared" ref="C8" si="3">SUM(C6:C7)</f>
        <v>30428332.636450827</v>
      </c>
      <c r="D8" s="33">
        <f t="shared" ref="D8" si="4">SUM(D6:D7)</f>
        <v>204913948.63738382</v>
      </c>
      <c r="E8" s="50">
        <f t="shared" ref="E8" si="5">SUM(E6:E7)</f>
        <v>144121537.67999998</v>
      </c>
      <c r="F8" s="33">
        <f t="shared" ref="F8" si="6">SUM(F6:F7)</f>
        <v>67129762.069999993</v>
      </c>
      <c r="G8" s="51">
        <f t="shared" ref="G8" si="7">SUM(G6:G7)</f>
        <v>31957293.820000008</v>
      </c>
      <c r="H8" s="33">
        <f t="shared" ref="H8" si="8">SUM(H6:H7)</f>
        <v>117282092.16477183</v>
      </c>
      <c r="I8" s="50">
        <f t="shared" ref="I8" si="9">SUM(I6:I7)</f>
        <v>48208186.17921415</v>
      </c>
      <c r="J8" s="33">
        <f t="shared" ref="J8" si="10">SUM(J6:J7)</f>
        <v>27282684.479999989</v>
      </c>
      <c r="K8" s="51">
        <f t="shared" ref="K8" si="11">SUM(K6:K7)</f>
        <v>11122529.459999993</v>
      </c>
      <c r="L8" s="33">
        <f t="shared" ref="L8" si="12">SUM(L6:L7)</f>
        <v>93177576.699999988</v>
      </c>
      <c r="M8" s="50">
        <f t="shared" ref="M8" si="13">SUM(M6:M7)</f>
        <v>72590866.289999992</v>
      </c>
      <c r="N8" s="33">
        <f t="shared" ref="N8" si="14">SUM(N6:N7)</f>
        <v>57767312.75999999</v>
      </c>
      <c r="O8" s="51">
        <f t="shared" ref="O8" si="15">SUM(O6:O7)</f>
        <v>27264667.549999997</v>
      </c>
      <c r="P8" s="33">
        <f t="shared" ref="P8" si="16">SUM(P6:P7)</f>
        <v>78649640.289999992</v>
      </c>
      <c r="Q8" s="50">
        <f t="shared" ref="Q8" si="17">SUM(Q6:Q7)</f>
        <v>60020554.960000008</v>
      </c>
      <c r="R8" s="33">
        <f t="shared" ref="R8" si="18">SUM(R6:R7)</f>
        <v>43217826.510000005</v>
      </c>
      <c r="S8" s="51">
        <f t="shared" ref="S8" si="19">SUM(S6:S7)</f>
        <v>20420485.770000003</v>
      </c>
      <c r="T8" s="33">
        <f t="shared" ref="T8" si="20">SUM(T6:T7)</f>
        <v>79244313.340000004</v>
      </c>
      <c r="U8" s="50">
        <f t="shared" ref="U8" si="21">SUM(U6:U7)</f>
        <v>65471835.499999985</v>
      </c>
      <c r="V8" s="33">
        <f t="shared" ref="V8:X8" si="22">SUM(V6:V7)</f>
        <v>52096219.409999996</v>
      </c>
      <c r="W8" s="51">
        <f t="shared" ref="W8" si="23">SUM(W6:W7)</f>
        <v>25202923.390000008</v>
      </c>
      <c r="X8" s="33">
        <f t="shared" si="22"/>
        <v>64839975.340000004</v>
      </c>
      <c r="Y8" s="50">
        <f t="shared" ref="Y8" si="24">SUM(Y6:Y7)</f>
        <v>42346104.310000002</v>
      </c>
      <c r="Z8" s="33">
        <f t="shared" ref="Z8:AE8" si="25">SUM(Z6:Z7)</f>
        <v>33036590.50999999</v>
      </c>
      <c r="AA8" s="51">
        <f t="shared" si="25"/>
        <v>14122576.269999996</v>
      </c>
      <c r="AB8" s="33">
        <f t="shared" si="25"/>
        <v>47146004.411186486</v>
      </c>
      <c r="AC8" s="118">
        <f t="shared" si="25"/>
        <v>33743231.479999989</v>
      </c>
      <c r="AD8" s="33">
        <f t="shared" si="25"/>
        <v>27827489.248924181</v>
      </c>
      <c r="AE8" s="51">
        <f t="shared" si="25"/>
        <v>18325403.470485784</v>
      </c>
      <c r="AF8" s="33">
        <f>AF6+AF7</f>
        <v>50424032.247875661</v>
      </c>
      <c r="AG8" s="50">
        <f>SUM(AG6:AG7)</f>
        <v>39071081.739811108</v>
      </c>
      <c r="AH8" s="33">
        <f>AH6+AH7</f>
        <v>26371969.185507625</v>
      </c>
      <c r="AI8" s="51">
        <f>SUM(AI6:AI7)</f>
        <v>13420025.707046725</v>
      </c>
      <c r="AJ8" s="33">
        <f>AJ6+AJ7</f>
        <v>62018778.053120136</v>
      </c>
      <c r="AK8" s="50">
        <f>SUM(AK6:AK7)</f>
        <v>36170034.537558347</v>
      </c>
      <c r="AL8" s="33">
        <f>AL6+AL7</f>
        <v>31627156.449999988</v>
      </c>
      <c r="AM8" s="51">
        <f>SUM(AM6:AM7)</f>
        <v>13865096</v>
      </c>
      <c r="AN8" s="33">
        <f>AN6+AN7</f>
        <v>35449928.129999995</v>
      </c>
      <c r="AO8" s="50">
        <f>SUM(AO6:AO7)</f>
        <v>27556192.949999988</v>
      </c>
      <c r="AP8" s="33">
        <f>AP6+AP7</f>
        <v>25949636.390000001</v>
      </c>
      <c r="AQ8" s="51">
        <v>12013272.76</v>
      </c>
      <c r="AR8" s="128">
        <v>49820066.909999996</v>
      </c>
      <c r="AS8" s="50">
        <v>43876790.060000002</v>
      </c>
      <c r="AT8" s="49">
        <v>35090188.020000003</v>
      </c>
      <c r="AU8" s="51">
        <v>14338808.68</v>
      </c>
      <c r="AV8" s="49">
        <v>40389670.649999999</v>
      </c>
      <c r="AW8" s="50">
        <v>36014837.859999999</v>
      </c>
      <c r="AX8" s="49">
        <v>29862212.93</v>
      </c>
      <c r="AY8" s="51">
        <v>14586163.91</v>
      </c>
      <c r="AZ8" s="49">
        <v>39535359.600000001</v>
      </c>
      <c r="BA8" s="50">
        <v>30881396.780000001</v>
      </c>
      <c r="BB8" s="49">
        <v>25489620.649999999</v>
      </c>
      <c r="BC8" s="244">
        <v>12625470.779999999</v>
      </c>
      <c r="BD8" s="250">
        <f>SUM(BD6:BD7)</f>
        <v>18325403.470485784</v>
      </c>
      <c r="BE8" s="118">
        <f t="shared" si="0"/>
        <v>11352950.508064553</v>
      </c>
      <c r="BF8" s="31">
        <f>SUM(BF6:BF7)</f>
        <v>12699112.554303482</v>
      </c>
      <c r="BG8" s="118">
        <f t="shared" si="0"/>
        <v>12951943.4784609</v>
      </c>
      <c r="BH8" s="250">
        <f>SUM(BH6:BH7)</f>
        <v>13420025.707046725</v>
      </c>
      <c r="BI8" s="118">
        <f t="shared" si="0"/>
        <v>25848743.515561789</v>
      </c>
      <c r="BJ8" s="31">
        <f>SUM(BJ6:BJ7)</f>
        <v>4542878.0875583589</v>
      </c>
      <c r="BK8" s="118">
        <f t="shared" si="0"/>
        <v>17762060.449999988</v>
      </c>
      <c r="BL8" s="250">
        <f>SUM(BL6:BL7)</f>
        <v>13865096</v>
      </c>
      <c r="BM8" s="341">
        <f>BM6+BM7</f>
        <v>7893735.1800000072</v>
      </c>
      <c r="BN8" s="31">
        <f>SUM(BN6:BN7)</f>
        <v>1606556.5599999875</v>
      </c>
      <c r="BO8" s="118">
        <f t="shared" si="1"/>
        <v>13936363.630000001</v>
      </c>
      <c r="BP8" s="182">
        <v>12013272.76</v>
      </c>
      <c r="BQ8" s="32">
        <v>5943276.849999994</v>
      </c>
      <c r="BR8" s="31">
        <v>8786602.0399999991</v>
      </c>
      <c r="BS8" s="32">
        <v>20751379.340000004</v>
      </c>
      <c r="BT8" s="159">
        <v>14338808.68</v>
      </c>
      <c r="BU8" s="32">
        <v>4374832.7899999991</v>
      </c>
      <c r="BV8" s="31">
        <v>6152624.9299999997</v>
      </c>
      <c r="BW8" s="32">
        <v>15276049.02</v>
      </c>
      <c r="BX8" s="159">
        <v>14586163.91</v>
      </c>
      <c r="BY8" s="32">
        <v>8653962.8200000003</v>
      </c>
      <c r="BZ8" s="31">
        <v>5391776.1300000027</v>
      </c>
      <c r="CA8" s="32">
        <v>12864149.869999999</v>
      </c>
      <c r="CB8" s="31">
        <v>12625470.779999999</v>
      </c>
    </row>
    <row r="9" spans="1:80" ht="27.9" customHeight="1">
      <c r="A9" s="7" t="s">
        <v>63</v>
      </c>
      <c r="B9" s="30">
        <v>-15332101.029999999</v>
      </c>
      <c r="C9" s="48">
        <v>-5623793.6699999999</v>
      </c>
      <c r="D9" s="30">
        <v>-36861970.859999999</v>
      </c>
      <c r="E9" s="23">
        <v>-22267079.359999999</v>
      </c>
      <c r="F9" s="30">
        <v>-11051451.84</v>
      </c>
      <c r="G9" s="48">
        <v>-4725980.26</v>
      </c>
      <c r="H9" s="30">
        <v>-21594460.549999997</v>
      </c>
      <c r="I9" s="23">
        <v>-13956091.35</v>
      </c>
      <c r="J9" s="30">
        <v>-7968366.2300000004</v>
      </c>
      <c r="K9" s="48">
        <v>-3278083.72</v>
      </c>
      <c r="L9" s="30">
        <v>-26317680.050000001</v>
      </c>
      <c r="M9" s="23">
        <v>-17534450.239999998</v>
      </c>
      <c r="N9" s="30">
        <v>-11596222.25</v>
      </c>
      <c r="O9" s="48">
        <v>-4531647.87</v>
      </c>
      <c r="P9" s="30">
        <v>-19861031.789999999</v>
      </c>
      <c r="Q9" s="23">
        <v>-13759943.08</v>
      </c>
      <c r="R9" s="30">
        <v>-8692952.5099999998</v>
      </c>
      <c r="S9" s="48">
        <v>-3838177.99</v>
      </c>
      <c r="T9" s="30">
        <v>-17284597.739999998</v>
      </c>
      <c r="U9" s="23">
        <v>-12373601.26</v>
      </c>
      <c r="V9" s="30">
        <v>-8470750.7899999991</v>
      </c>
      <c r="W9" s="48">
        <v>-4291364.75</v>
      </c>
      <c r="X9" s="30">
        <v>-17127785.59</v>
      </c>
      <c r="Y9" s="23">
        <v>-10059875.359999999</v>
      </c>
      <c r="Z9" s="30">
        <v>-6884153.3200000003</v>
      </c>
      <c r="AA9" s="48">
        <v>-2880801.48</v>
      </c>
      <c r="AB9" s="30">
        <v>-13790795.880000003</v>
      </c>
      <c r="AC9" s="471">
        <v>-10157652.050000001</v>
      </c>
      <c r="AD9" s="30">
        <v>-7019953.0600000005</v>
      </c>
      <c r="AE9" s="48">
        <v>-3192833.27</v>
      </c>
      <c r="AF9" s="30">
        <v>-13914191.880000001</v>
      </c>
      <c r="AG9" s="23">
        <v>-10332496.479999999</v>
      </c>
      <c r="AH9" s="30">
        <v>-6730588.4299999997</v>
      </c>
      <c r="AI9" s="48">
        <v>-2816538.66</v>
      </c>
      <c r="AJ9" s="30">
        <v>-11815346.200000001</v>
      </c>
      <c r="AK9" s="23">
        <v>-8142949.7700000005</v>
      </c>
      <c r="AL9" s="30">
        <v>-5330320.28</v>
      </c>
      <c r="AM9" s="48">
        <v>-2069823.14</v>
      </c>
      <c r="AN9" s="30">
        <v>-11200475.699999999</v>
      </c>
      <c r="AO9" s="23">
        <v>-8224969.0700000003</v>
      </c>
      <c r="AP9" s="30">
        <v>-5947331.8899999997</v>
      </c>
      <c r="AQ9" s="48">
        <v>-3049663.87</v>
      </c>
      <c r="AR9" s="126">
        <v>-10814489.560000001</v>
      </c>
      <c r="AS9" s="23">
        <v>-8249852.0199999996</v>
      </c>
      <c r="AT9" s="47">
        <v>-5361127.33</v>
      </c>
      <c r="AU9" s="48">
        <v>-2396881.14</v>
      </c>
      <c r="AV9" s="47">
        <v>-9863952.1899999995</v>
      </c>
      <c r="AW9" s="23">
        <v>-7265438.8899999997</v>
      </c>
      <c r="AX9" s="47">
        <v>-4933128.55</v>
      </c>
      <c r="AY9" s="48">
        <v>-2194862.0099999998</v>
      </c>
      <c r="AZ9" s="47">
        <v>-8581504.6199999992</v>
      </c>
      <c r="BA9" s="23">
        <v>-6611219.2400000002</v>
      </c>
      <c r="BB9" s="47">
        <v>-4782187.49</v>
      </c>
      <c r="BC9" s="243">
        <v>-2313776.4</v>
      </c>
      <c r="BD9" s="249">
        <f t="shared" ref="BD9:BD20" si="26">AE9</f>
        <v>-3192833.27</v>
      </c>
      <c r="BE9" s="23">
        <f t="shared" si="0"/>
        <v>-3581695.4000000022</v>
      </c>
      <c r="BF9" s="28">
        <f t="shared" ref="BF9:BF23" si="27">AG9-AH9</f>
        <v>-3601908.0499999989</v>
      </c>
      <c r="BG9" s="23">
        <f t="shared" si="0"/>
        <v>-3914049.7699999996</v>
      </c>
      <c r="BH9" s="249">
        <f t="shared" ref="BH9:BH20" si="28">AI9</f>
        <v>-2816538.66</v>
      </c>
      <c r="BI9" s="23">
        <f t="shared" si="0"/>
        <v>-3672396.4300000006</v>
      </c>
      <c r="BJ9" s="28">
        <f t="shared" ref="BJ9:BJ23" si="29">AK9-AL9</f>
        <v>-2812629.49</v>
      </c>
      <c r="BK9" s="23">
        <f t="shared" si="0"/>
        <v>-3260497.1400000006</v>
      </c>
      <c r="BL9" s="249">
        <v>-2069823.14</v>
      </c>
      <c r="BM9" s="340">
        <f t="shared" ref="BM9:BM23" si="30">AN9-AO9</f>
        <v>-2975506.629999999</v>
      </c>
      <c r="BN9" s="28">
        <f t="shared" ref="BN9:BN23" si="31">AO9-AP9</f>
        <v>-2277637.1800000006</v>
      </c>
      <c r="BO9" s="23">
        <f t="shared" si="1"/>
        <v>-2897668.0199999996</v>
      </c>
      <c r="BP9" s="181">
        <v>-3049663.87</v>
      </c>
      <c r="BQ9" s="29">
        <v>-2564637.540000001</v>
      </c>
      <c r="BR9" s="28">
        <v>-2888724.6899999995</v>
      </c>
      <c r="BS9" s="29">
        <v>-2964246.19</v>
      </c>
      <c r="BT9" s="158">
        <v>-2396881.14</v>
      </c>
      <c r="BU9" s="29">
        <v>-2598513.2999999998</v>
      </c>
      <c r="BV9" s="28">
        <v>-2332310.34</v>
      </c>
      <c r="BW9" s="29">
        <v>-2738266.54</v>
      </c>
      <c r="BX9" s="158">
        <v>-2194862.0099999998</v>
      </c>
      <c r="BY9" s="29">
        <v>-1970285.379999999</v>
      </c>
      <c r="BZ9" s="28">
        <v>-1829031.75</v>
      </c>
      <c r="CA9" s="29">
        <v>-2468411.0900000003</v>
      </c>
      <c r="CB9" s="28">
        <v>-2313776.4</v>
      </c>
    </row>
    <row r="10" spans="1:80" ht="27.9" customHeight="1">
      <c r="A10" s="7" t="s">
        <v>64</v>
      </c>
      <c r="B10" s="30">
        <v>-24856122.699999999</v>
      </c>
      <c r="C10" s="48">
        <v>-12031131.839999998</v>
      </c>
      <c r="D10" s="30">
        <v>-47065755.779999994</v>
      </c>
      <c r="E10" s="23">
        <v>-31038634.190000001</v>
      </c>
      <c r="F10" s="30">
        <v>-20714375.219999999</v>
      </c>
      <c r="G10" s="48">
        <v>-9999648.6300000008</v>
      </c>
      <c r="H10" s="30">
        <v>-39762315.449999996</v>
      </c>
      <c r="I10" s="23">
        <v>-27543765.43</v>
      </c>
      <c r="J10" s="30">
        <v>-18590949.870000001</v>
      </c>
      <c r="K10" s="48">
        <v>-8966192.6799999997</v>
      </c>
      <c r="L10" s="30">
        <v>-33824854.159999996</v>
      </c>
      <c r="M10" s="23">
        <v>-24822143.100000001</v>
      </c>
      <c r="N10" s="30">
        <v>-16780302.800000001</v>
      </c>
      <c r="O10" s="48">
        <v>-8487336.9399999995</v>
      </c>
      <c r="P10" s="30">
        <v>-29558074.25</v>
      </c>
      <c r="Q10" s="23">
        <v>-21038327.710000001</v>
      </c>
      <c r="R10" s="30">
        <v>-14162805</v>
      </c>
      <c r="S10" s="48">
        <v>-5962996.3200000003</v>
      </c>
      <c r="T10" s="30">
        <v>-23320704.800000001</v>
      </c>
      <c r="U10" s="23">
        <v>-16830282.07</v>
      </c>
      <c r="V10" s="30">
        <v>-11063324.189999999</v>
      </c>
      <c r="W10" s="48">
        <v>-6171520.0300000003</v>
      </c>
      <c r="X10" s="30">
        <v>-24774285.440000001</v>
      </c>
      <c r="Y10" s="23">
        <v>-18006224.02</v>
      </c>
      <c r="Z10" s="30">
        <f>-12139287.54-0.01</f>
        <v>-12139287.549999999</v>
      </c>
      <c r="AA10" s="48">
        <v>-5978885.9400000004</v>
      </c>
      <c r="AB10" s="30">
        <v>-23276126.706949502</v>
      </c>
      <c r="AC10" s="23">
        <v>-17890480.850000001</v>
      </c>
      <c r="AD10" s="30">
        <v>-12166896.269999998</v>
      </c>
      <c r="AE10" s="48">
        <v>-6303549.2200000016</v>
      </c>
      <c r="AF10" s="30">
        <v>-27799213.000000007</v>
      </c>
      <c r="AG10" s="23">
        <v>-19547041.32</v>
      </c>
      <c r="AH10" s="30">
        <v>-12994087.74</v>
      </c>
      <c r="AI10" s="48">
        <v>-6349617.3700000001</v>
      </c>
      <c r="AJ10" s="30">
        <v>-27951632.519999992</v>
      </c>
      <c r="AK10" s="23">
        <v>-18378308.110000003</v>
      </c>
      <c r="AL10" s="30">
        <v>-12393134.59</v>
      </c>
      <c r="AM10" s="48">
        <v>-6313817.9299999997</v>
      </c>
      <c r="AN10" s="30">
        <v>-25420374.600000001</v>
      </c>
      <c r="AO10" s="23">
        <v>-18819335.91</v>
      </c>
      <c r="AP10" s="30">
        <v>-12352593.82</v>
      </c>
      <c r="AQ10" s="48">
        <v>-5755687.6399999997</v>
      </c>
      <c r="AR10" s="126">
        <v>-24058518.670000002</v>
      </c>
      <c r="AS10" s="23">
        <v>-17489627.359999999</v>
      </c>
      <c r="AT10" s="47">
        <v>-11567151.220000001</v>
      </c>
      <c r="AU10" s="48">
        <v>-5574062.71</v>
      </c>
      <c r="AV10" s="47">
        <v>-21669962.870000001</v>
      </c>
      <c r="AW10" s="23">
        <v>-16170427.23</v>
      </c>
      <c r="AX10" s="47">
        <v>-11051874.15</v>
      </c>
      <c r="AY10" s="48">
        <v>-5445280.8099999996</v>
      </c>
      <c r="AZ10" s="47">
        <v>-23108495.719999999</v>
      </c>
      <c r="BA10" s="23">
        <v>-17328421.870000001</v>
      </c>
      <c r="BB10" s="47">
        <v>-12288310.949999999</v>
      </c>
      <c r="BC10" s="243">
        <v>-6048359.1399999997</v>
      </c>
      <c r="BD10" s="249">
        <f t="shared" si="26"/>
        <v>-6303549.2200000016</v>
      </c>
      <c r="BE10" s="23">
        <f t="shared" si="0"/>
        <v>-8252171.6800000072</v>
      </c>
      <c r="BF10" s="28">
        <f t="shared" si="27"/>
        <v>-6552953.5800000001</v>
      </c>
      <c r="BG10" s="23">
        <f t="shared" si="0"/>
        <v>-6644470.3700000001</v>
      </c>
      <c r="BH10" s="249">
        <f t="shared" si="28"/>
        <v>-6349617.3700000001</v>
      </c>
      <c r="BI10" s="23">
        <f t="shared" si="0"/>
        <v>-9573324.409999989</v>
      </c>
      <c r="BJ10" s="28">
        <f t="shared" si="29"/>
        <v>-5985173.5200000033</v>
      </c>
      <c r="BK10" s="23">
        <f t="shared" si="0"/>
        <v>-6079316.6600000001</v>
      </c>
      <c r="BL10" s="249">
        <v>-6313817.9299999997</v>
      </c>
      <c r="BM10" s="340">
        <f t="shared" si="30"/>
        <v>-6601038.6900000013</v>
      </c>
      <c r="BN10" s="28">
        <f t="shared" si="31"/>
        <v>-6466742.0899999999</v>
      </c>
      <c r="BO10" s="23">
        <f t="shared" si="1"/>
        <v>-6596906.1800000006</v>
      </c>
      <c r="BP10" s="181">
        <v>-5755687.6399999997</v>
      </c>
      <c r="BQ10" s="29">
        <v>-6568891.3100000024</v>
      </c>
      <c r="BR10" s="28">
        <v>-5922476.1399999987</v>
      </c>
      <c r="BS10" s="29">
        <v>-5993088.5100000007</v>
      </c>
      <c r="BT10" s="158">
        <v>-5574062.71</v>
      </c>
      <c r="BU10" s="29">
        <v>-5499535.6400000006</v>
      </c>
      <c r="BV10" s="28">
        <v>-5118553.08</v>
      </c>
      <c r="BW10" s="29">
        <v>-5606593.3400000008</v>
      </c>
      <c r="BX10" s="158">
        <v>-5445280.8099999996</v>
      </c>
      <c r="BY10" s="29">
        <v>-5780073.8499999978</v>
      </c>
      <c r="BZ10" s="28">
        <v>-5040110.9200000018</v>
      </c>
      <c r="CA10" s="29">
        <v>-6239951.8099999996</v>
      </c>
      <c r="CB10" s="28">
        <v>-6048359.1399999997</v>
      </c>
    </row>
    <row r="11" spans="1:80" ht="27.9" customHeight="1">
      <c r="A11" s="6" t="s">
        <v>4</v>
      </c>
      <c r="B11" s="33">
        <f t="shared" ref="B11" si="32">SUM(B8:B10)</f>
        <v>69730932.289999977</v>
      </c>
      <c r="C11" s="51">
        <f t="shared" ref="C11" si="33">SUM(C8:C10)</f>
        <v>12773407.126450827</v>
      </c>
      <c r="D11" s="33">
        <f t="shared" ref="D11" si="34">SUM(D8:D10)</f>
        <v>120986221.9973838</v>
      </c>
      <c r="E11" s="50">
        <f t="shared" ref="E11" si="35">SUM(E8:E10)</f>
        <v>90815824.12999998</v>
      </c>
      <c r="F11" s="33">
        <f t="shared" ref="F11" si="36">SUM(F8:F10)</f>
        <v>35363935.00999999</v>
      </c>
      <c r="G11" s="51">
        <f t="shared" ref="G11" si="37">SUM(G8:G10)</f>
        <v>17231664.930000007</v>
      </c>
      <c r="H11" s="33">
        <f t="shared" ref="H11" si="38">SUM(H8:H10)</f>
        <v>55925316.164771833</v>
      </c>
      <c r="I11" s="50">
        <f t="shared" ref="I11" si="39">SUM(I8:I10)</f>
        <v>6708329.3992141485</v>
      </c>
      <c r="J11" s="33">
        <f t="shared" ref="J11" si="40">SUM(J8:J10)</f>
        <v>723368.37999998778</v>
      </c>
      <c r="K11" s="51">
        <f t="shared" ref="K11" si="41">SUM(K8:K10)</f>
        <v>-1121746.9400000069</v>
      </c>
      <c r="L11" s="33">
        <f t="shared" ref="L11" si="42">SUM(L8:L10)</f>
        <v>33035042.489999995</v>
      </c>
      <c r="M11" s="50">
        <f t="shared" ref="M11" si="43">SUM(M8:M10)</f>
        <v>30234272.949999996</v>
      </c>
      <c r="N11" s="33">
        <f t="shared" ref="N11" si="44">SUM(N8:N10)</f>
        <v>29390787.70999999</v>
      </c>
      <c r="O11" s="51">
        <f t="shared" ref="O11" si="45">SUM(O8:O10)</f>
        <v>14245682.739999996</v>
      </c>
      <c r="P11" s="33">
        <f t="shared" ref="P11" si="46">SUM(P8:P10)</f>
        <v>29230534.249999993</v>
      </c>
      <c r="Q11" s="50">
        <f t="shared" ref="Q11" si="47">SUM(Q8:Q10)</f>
        <v>25222284.170000009</v>
      </c>
      <c r="R11" s="33">
        <f t="shared" ref="R11" si="48">SUM(R8:R10)</f>
        <v>20362069.000000007</v>
      </c>
      <c r="S11" s="51">
        <f t="shared" ref="S11" si="49">SUM(S8:S10)</f>
        <v>10619311.460000003</v>
      </c>
      <c r="T11" s="33">
        <f t="shared" ref="T11" si="50">SUM(T8:T10)</f>
        <v>38639010.800000012</v>
      </c>
      <c r="U11" s="50">
        <f t="shared" ref="U11" si="51">SUM(U8:U10)</f>
        <v>36267952.169999987</v>
      </c>
      <c r="V11" s="33">
        <f t="shared" ref="V11:X11" si="52">SUM(V8:V10)</f>
        <v>32562144.43</v>
      </c>
      <c r="W11" s="51">
        <f t="shared" ref="W11" si="53">SUM(W8:W10)</f>
        <v>14740038.610000007</v>
      </c>
      <c r="X11" s="33">
        <f t="shared" si="52"/>
        <v>22937904.309999999</v>
      </c>
      <c r="Y11" s="50">
        <f t="shared" ref="Y11" si="54">SUM(Y8:Y10)</f>
        <v>14280004.930000003</v>
      </c>
      <c r="Z11" s="33">
        <f t="shared" ref="Z11:AE11" si="55">SUM(Z8:Z10)</f>
        <v>14013149.639999991</v>
      </c>
      <c r="AA11" s="51">
        <f t="shared" si="55"/>
        <v>5262888.849999995</v>
      </c>
      <c r="AB11" s="33">
        <f t="shared" si="55"/>
        <v>10079081.824236982</v>
      </c>
      <c r="AC11" s="118">
        <f t="shared" si="55"/>
        <v>5695098.579999987</v>
      </c>
      <c r="AD11" s="33">
        <f t="shared" si="55"/>
        <v>8640639.9189241808</v>
      </c>
      <c r="AE11" s="51">
        <f t="shared" si="55"/>
        <v>8829020.980485782</v>
      </c>
      <c r="AF11" s="33">
        <f>AF8+AF9+AF10</f>
        <v>8710627.3678756505</v>
      </c>
      <c r="AG11" s="50">
        <f>SUM(AG8:AG10)</f>
        <v>9191543.9398111105</v>
      </c>
      <c r="AH11" s="33">
        <f>AH8+AH9+AH10</f>
        <v>6647293.0155076254</v>
      </c>
      <c r="AI11" s="51">
        <f>SUM(AI8:AI10)</f>
        <v>4253869.6770467246</v>
      </c>
      <c r="AJ11" s="33">
        <f>AJ8+AJ9+AJ10</f>
        <v>22251799.333120141</v>
      </c>
      <c r="AK11" s="50">
        <f>SUM(AK8:AK10)</f>
        <v>9648776.6575583443</v>
      </c>
      <c r="AL11" s="33">
        <f>AL8+AL9+AL10</f>
        <v>13903701.579999987</v>
      </c>
      <c r="AM11" s="51">
        <f>SUM(AM8:AM10)</f>
        <v>5481454.9299999997</v>
      </c>
      <c r="AN11" s="33">
        <f>AN8+AN9+AN10</f>
        <v>-1170922.1700000055</v>
      </c>
      <c r="AO11" s="50">
        <f>SUM(AO8:AO10)</f>
        <v>511887.96999998763</v>
      </c>
      <c r="AP11" s="33">
        <f>AP8+AP9+AP10</f>
        <v>7649710.6799999997</v>
      </c>
      <c r="AQ11" s="51">
        <v>3207921.25</v>
      </c>
      <c r="AR11" s="128">
        <v>14947058.68</v>
      </c>
      <c r="AS11" s="50">
        <v>18137310.68</v>
      </c>
      <c r="AT11" s="49">
        <v>18161909.469999999</v>
      </c>
      <c r="AU11" s="51">
        <v>6367864.8300000001</v>
      </c>
      <c r="AV11" s="49">
        <v>8855755.5899999999</v>
      </c>
      <c r="AW11" s="50">
        <v>12578971.74</v>
      </c>
      <c r="AX11" s="49">
        <v>13877210.23</v>
      </c>
      <c r="AY11" s="51">
        <v>6946021.0899999999</v>
      </c>
      <c r="AZ11" s="49">
        <v>7845359.2599999998</v>
      </c>
      <c r="BA11" s="50">
        <v>6941755.6699999999</v>
      </c>
      <c r="BB11" s="49">
        <v>8419122.2100000009</v>
      </c>
      <c r="BC11" s="244">
        <v>4263335.24</v>
      </c>
      <c r="BD11" s="250">
        <f>SUM(BD8:BD10)</f>
        <v>8829020.980485782</v>
      </c>
      <c r="BE11" s="118">
        <f t="shared" si="0"/>
        <v>-480916.57193545997</v>
      </c>
      <c r="BF11" s="31">
        <f>SUM(BF8:BF10)</f>
        <v>2544250.9243034832</v>
      </c>
      <c r="BG11" s="118">
        <f t="shared" si="0"/>
        <v>2393423.3384609008</v>
      </c>
      <c r="BH11" s="250">
        <f>SUM(BH8:BH10)</f>
        <v>4253869.6770467246</v>
      </c>
      <c r="BI11" s="118">
        <f t="shared" si="0"/>
        <v>12603022.675561797</v>
      </c>
      <c r="BJ11" s="31">
        <f>SUM(BJ8:BJ10)</f>
        <v>-4254924.9224416446</v>
      </c>
      <c r="BK11" s="118">
        <f t="shared" si="0"/>
        <v>8422246.6499999873</v>
      </c>
      <c r="BL11" s="250">
        <f>SUM(BL8:BL10)</f>
        <v>5481454.9299999997</v>
      </c>
      <c r="BM11" s="341">
        <f>BM8+BM9+BM10</f>
        <v>-1682810.1399999931</v>
      </c>
      <c r="BN11" s="31">
        <f>SUM(BN8:BN10)</f>
        <v>-7137822.710000013</v>
      </c>
      <c r="BO11" s="118">
        <f t="shared" si="1"/>
        <v>4441789.43</v>
      </c>
      <c r="BP11" s="182">
        <v>3207921.25</v>
      </c>
      <c r="BQ11" s="32">
        <v>-3190252</v>
      </c>
      <c r="BR11" s="31">
        <v>-24598.789999999106</v>
      </c>
      <c r="BS11" s="32">
        <v>11794044.639999999</v>
      </c>
      <c r="BT11" s="159">
        <v>6367864.8300000001</v>
      </c>
      <c r="BU11" s="32">
        <v>-3723216.1500000004</v>
      </c>
      <c r="BV11" s="31">
        <v>-1298238.4900000002</v>
      </c>
      <c r="BW11" s="32">
        <v>6931189.1400000006</v>
      </c>
      <c r="BX11" s="159">
        <v>6946021.0899999999</v>
      </c>
      <c r="BY11" s="32">
        <v>903603.58999999985</v>
      </c>
      <c r="BZ11" s="31">
        <v>-1477366.540000001</v>
      </c>
      <c r="CA11" s="32">
        <v>4155786.9700000007</v>
      </c>
      <c r="CB11" s="31">
        <v>4263335.24</v>
      </c>
    </row>
    <row r="12" spans="1:80" ht="27.9" customHeight="1">
      <c r="A12" s="7" t="s">
        <v>65</v>
      </c>
      <c r="B12" s="30">
        <v>1937897.29</v>
      </c>
      <c r="C12" s="48">
        <v>357257.30000000005</v>
      </c>
      <c r="D12" s="30">
        <v>2544476.39</v>
      </c>
      <c r="E12" s="23">
        <v>1156398.1399999999</v>
      </c>
      <c r="F12" s="30">
        <v>982812.44</v>
      </c>
      <c r="G12" s="48">
        <v>485182.58</v>
      </c>
      <c r="H12" s="30">
        <v>8199148.8600000003</v>
      </c>
      <c r="I12" s="23">
        <v>6887264.3500000006</v>
      </c>
      <c r="J12" s="30">
        <v>6472073.2199999997</v>
      </c>
      <c r="K12" s="48">
        <v>5481121</v>
      </c>
      <c r="L12" s="30">
        <v>3361628.23</v>
      </c>
      <c r="M12" s="23">
        <v>5514354.2400000002</v>
      </c>
      <c r="N12" s="30">
        <v>2084185.63</v>
      </c>
      <c r="O12" s="48">
        <v>865111.05</v>
      </c>
      <c r="P12" s="30">
        <v>4347980.8499999996</v>
      </c>
      <c r="Q12" s="23">
        <v>3377443.4</v>
      </c>
      <c r="R12" s="30">
        <v>1899589.85</v>
      </c>
      <c r="S12" s="48">
        <v>1300103.99</v>
      </c>
      <c r="T12" s="30">
        <v>6105202.29</v>
      </c>
      <c r="U12" s="23">
        <v>4422515.07</v>
      </c>
      <c r="V12" s="30">
        <v>3193199.49</v>
      </c>
      <c r="W12" s="48">
        <v>2613993.37</v>
      </c>
      <c r="X12" s="30">
        <v>4151972.86</v>
      </c>
      <c r="Y12" s="23">
        <v>3277453.38</v>
      </c>
      <c r="Z12" s="30">
        <v>2148658.2799999998</v>
      </c>
      <c r="AA12" s="48">
        <v>1156404.47</v>
      </c>
      <c r="AB12" s="30">
        <v>6658939.8500000052</v>
      </c>
      <c r="AC12" s="471">
        <v>2494833.92</v>
      </c>
      <c r="AD12" s="30">
        <v>2436315.5800000075</v>
      </c>
      <c r="AE12" s="48">
        <v>606486.99000000732</v>
      </c>
      <c r="AF12" s="30">
        <v>4364197.5999999996</v>
      </c>
      <c r="AG12" s="23">
        <v>1387233.4100000064</v>
      </c>
      <c r="AH12" s="30">
        <v>1012856.990000006</v>
      </c>
      <c r="AI12" s="48">
        <v>397557.06000000017</v>
      </c>
      <c r="AJ12" s="30">
        <v>4375244.66</v>
      </c>
      <c r="AK12" s="23">
        <v>3367691.7499999995</v>
      </c>
      <c r="AL12" s="30">
        <v>1934730.44</v>
      </c>
      <c r="AM12" s="48">
        <v>422728.59</v>
      </c>
      <c r="AN12" s="30">
        <v>10482354.35</v>
      </c>
      <c r="AO12" s="23">
        <v>8684166.8499999996</v>
      </c>
      <c r="AP12" s="30">
        <v>7700151.8200000003</v>
      </c>
      <c r="AQ12" s="48">
        <v>866448.08</v>
      </c>
      <c r="AR12" s="126">
        <v>6599054.6200000001</v>
      </c>
      <c r="AS12" s="23">
        <v>2488638.5299999998</v>
      </c>
      <c r="AT12" s="47">
        <v>1824503.27</v>
      </c>
      <c r="AU12" s="48">
        <v>854303.49</v>
      </c>
      <c r="AV12" s="47">
        <v>3015398.39</v>
      </c>
      <c r="AW12" s="23">
        <v>2420995.4</v>
      </c>
      <c r="AX12" s="47">
        <v>2021254.76</v>
      </c>
      <c r="AY12" s="48">
        <v>211751.07</v>
      </c>
      <c r="AZ12" s="47">
        <v>6143541.1699999999</v>
      </c>
      <c r="BA12" s="23">
        <v>3417249.3</v>
      </c>
      <c r="BB12" s="47">
        <v>2699951.37</v>
      </c>
      <c r="BC12" s="243">
        <v>971290.04</v>
      </c>
      <c r="BD12" s="249">
        <f t="shared" si="26"/>
        <v>606486.99000000732</v>
      </c>
      <c r="BE12" s="23">
        <f t="shared" si="0"/>
        <v>2976964.189999993</v>
      </c>
      <c r="BF12" s="28">
        <f t="shared" si="27"/>
        <v>374376.42000000039</v>
      </c>
      <c r="BG12" s="23">
        <f t="shared" si="0"/>
        <v>615299.93000000587</v>
      </c>
      <c r="BH12" s="249">
        <f t="shared" si="28"/>
        <v>397557.06000000017</v>
      </c>
      <c r="BI12" s="23">
        <f t="shared" si="0"/>
        <v>1007552.9100000006</v>
      </c>
      <c r="BJ12" s="28">
        <f t="shared" si="29"/>
        <v>1432961.3099999996</v>
      </c>
      <c r="BK12" s="23">
        <f t="shared" si="0"/>
        <v>1512001.8499999999</v>
      </c>
      <c r="BL12" s="249">
        <v>422728.59</v>
      </c>
      <c r="BM12" s="340">
        <f t="shared" si="30"/>
        <v>1798187.5</v>
      </c>
      <c r="BN12" s="28">
        <f t="shared" si="31"/>
        <v>984015.02999999933</v>
      </c>
      <c r="BO12" s="23">
        <f t="shared" si="1"/>
        <v>6833703.7400000002</v>
      </c>
      <c r="BP12" s="181">
        <v>866448.08</v>
      </c>
      <c r="BQ12" s="29">
        <v>4110416.0900000003</v>
      </c>
      <c r="BR12" s="28">
        <v>664135.25999999978</v>
      </c>
      <c r="BS12" s="29">
        <v>970199.78</v>
      </c>
      <c r="BT12" s="158">
        <v>854303.49</v>
      </c>
      <c r="BU12" s="29">
        <v>594402.99000000022</v>
      </c>
      <c r="BV12" s="28">
        <v>399740.6399999999</v>
      </c>
      <c r="BW12" s="29">
        <v>1809503.69</v>
      </c>
      <c r="BX12" s="158">
        <v>211751.07</v>
      </c>
      <c r="BY12" s="29">
        <v>2726291.87</v>
      </c>
      <c r="BZ12" s="28">
        <v>717297.9299999997</v>
      </c>
      <c r="CA12" s="29">
        <v>1728661.33</v>
      </c>
      <c r="CB12" s="28">
        <v>971290.04</v>
      </c>
    </row>
    <row r="13" spans="1:80" ht="27.9" customHeight="1">
      <c r="A13" s="7" t="s">
        <v>66</v>
      </c>
      <c r="B13" s="30">
        <v>-2861105.97</v>
      </c>
      <c r="C13" s="48">
        <v>-949959.42457300005</v>
      </c>
      <c r="D13" s="30">
        <v>-7497547.4474726273</v>
      </c>
      <c r="E13" s="23">
        <v>-2652556.87</v>
      </c>
      <c r="F13" s="30">
        <v>-2088136.1</v>
      </c>
      <c r="G13" s="48">
        <v>-801701.82</v>
      </c>
      <c r="H13" s="30">
        <v>-10978120.330000002</v>
      </c>
      <c r="I13" s="23">
        <v>-5963719.8700000001</v>
      </c>
      <c r="J13" s="30">
        <v>-3797771.59</v>
      </c>
      <c r="K13" s="48">
        <v>-918645.18</v>
      </c>
      <c r="L13" s="30">
        <v>-7474069.1100000003</v>
      </c>
      <c r="M13" s="23">
        <v>-2193019.08</v>
      </c>
      <c r="N13" s="30">
        <v>-1530747.96</v>
      </c>
      <c r="O13" s="48">
        <v>-630558.01</v>
      </c>
      <c r="P13" s="30">
        <v>-3173339.81</v>
      </c>
      <c r="Q13" s="23">
        <v>-1590822.07</v>
      </c>
      <c r="R13" s="30">
        <v>-1530217.97</v>
      </c>
      <c r="S13" s="48">
        <v>-316737.46000000002</v>
      </c>
      <c r="T13" s="30">
        <v>-2954856.22</v>
      </c>
      <c r="U13" s="23">
        <v>-2044406.59</v>
      </c>
      <c r="V13" s="30">
        <v>-1796106.39</v>
      </c>
      <c r="W13" s="48">
        <v>-1062356.69</v>
      </c>
      <c r="X13" s="30">
        <v>-4241849.3099999996</v>
      </c>
      <c r="Y13" s="23">
        <v>-1571476.26</v>
      </c>
      <c r="Z13" s="30">
        <v>-1037970.22</v>
      </c>
      <c r="AA13" s="48">
        <v>-593394.67000000004</v>
      </c>
      <c r="AB13" s="30">
        <v>-3600340.0500000007</v>
      </c>
      <c r="AC13" s="23">
        <v>-1882648.01</v>
      </c>
      <c r="AD13" s="30">
        <v>-1420724.86</v>
      </c>
      <c r="AE13" s="48">
        <v>-299580.83000000007</v>
      </c>
      <c r="AF13" s="30">
        <v>-7497632.6099999994</v>
      </c>
      <c r="AG13" s="23">
        <v>-3394024.6900000004</v>
      </c>
      <c r="AH13" s="30">
        <v>-3045647.870000001</v>
      </c>
      <c r="AI13" s="48">
        <v>-833487.07</v>
      </c>
      <c r="AJ13" s="30">
        <v>-7556796.9900000002</v>
      </c>
      <c r="AK13" s="23">
        <v>-1753314.92</v>
      </c>
      <c r="AL13" s="30">
        <v>-1075700.3600000001</v>
      </c>
      <c r="AM13" s="48">
        <v>-260622.45</v>
      </c>
      <c r="AN13" s="30">
        <v>-3174511.1</v>
      </c>
      <c r="AO13" s="23">
        <v>-2245780.5499999998</v>
      </c>
      <c r="AP13" s="30">
        <v>-950268.11</v>
      </c>
      <c r="AQ13" s="48">
        <v>-1061632.3400000001</v>
      </c>
      <c r="AR13" s="126">
        <v>-4701914.0999999996</v>
      </c>
      <c r="AS13" s="23">
        <v>-2260092.02</v>
      </c>
      <c r="AT13" s="47">
        <v>-534729.87</v>
      </c>
      <c r="AU13" s="48">
        <v>-149157.97</v>
      </c>
      <c r="AV13" s="47">
        <v>-3233906.08</v>
      </c>
      <c r="AW13" s="23">
        <v>-1818880.25</v>
      </c>
      <c r="AX13" s="47">
        <v>-2075904.92</v>
      </c>
      <c r="AY13" s="48">
        <v>-1315461.43</v>
      </c>
      <c r="AZ13" s="47">
        <v>-3201311.34</v>
      </c>
      <c r="BA13" s="23">
        <v>-1259262.99</v>
      </c>
      <c r="BB13" s="47">
        <v>-1247467.6200000001</v>
      </c>
      <c r="BC13" s="243">
        <v>-74553.039999999994</v>
      </c>
      <c r="BD13" s="249">
        <f t="shared" si="26"/>
        <v>-299580.83000000007</v>
      </c>
      <c r="BE13" s="23">
        <f t="shared" si="0"/>
        <v>-4103607.919999999</v>
      </c>
      <c r="BF13" s="28">
        <f t="shared" si="27"/>
        <v>-348376.81999999937</v>
      </c>
      <c r="BG13" s="23">
        <f t="shared" si="0"/>
        <v>-2212160.8000000012</v>
      </c>
      <c r="BH13" s="249">
        <f t="shared" si="28"/>
        <v>-833487.07</v>
      </c>
      <c r="BI13" s="23">
        <f t="shared" si="0"/>
        <v>-5803482.0700000003</v>
      </c>
      <c r="BJ13" s="28">
        <f t="shared" si="29"/>
        <v>-677614.55999999982</v>
      </c>
      <c r="BK13" s="23">
        <f t="shared" si="0"/>
        <v>-815077.91000000015</v>
      </c>
      <c r="BL13" s="249">
        <v>-260622.45</v>
      </c>
      <c r="BM13" s="340">
        <f t="shared" si="30"/>
        <v>-928730.55000000028</v>
      </c>
      <c r="BN13" s="28">
        <f t="shared" si="31"/>
        <v>-1295512.44</v>
      </c>
      <c r="BO13" s="23">
        <f t="shared" si="1"/>
        <v>111364.2300000001</v>
      </c>
      <c r="BP13" s="181">
        <v>-1061632.3400000001</v>
      </c>
      <c r="BQ13" s="29">
        <v>-2441822.0799999996</v>
      </c>
      <c r="BR13" s="28">
        <v>-1725362.15</v>
      </c>
      <c r="BS13" s="29">
        <v>-385571.9</v>
      </c>
      <c r="BT13" s="158">
        <v>-149157.97</v>
      </c>
      <c r="BU13" s="29">
        <v>-1415025.83</v>
      </c>
      <c r="BV13" s="28">
        <v>257024.66999999993</v>
      </c>
      <c r="BW13" s="29">
        <v>-760443.49</v>
      </c>
      <c r="BX13" s="158">
        <v>-1315461.43</v>
      </c>
      <c r="BY13" s="29">
        <v>-1942048.3499999999</v>
      </c>
      <c r="BZ13" s="28">
        <v>-11795.369999999879</v>
      </c>
      <c r="CA13" s="29">
        <v>-1172914.58</v>
      </c>
      <c r="CB13" s="28">
        <v>-74553.039999999994</v>
      </c>
    </row>
    <row r="14" spans="1:80" ht="27.9" customHeight="1">
      <c r="A14" s="6" t="s">
        <v>67</v>
      </c>
      <c r="B14" s="33">
        <f>SUM(B11:B13)</f>
        <v>68807723.609999985</v>
      </c>
      <c r="C14" s="51">
        <f t="shared" ref="C14" si="56">SUM(C11:C13)</f>
        <v>12180705.001877828</v>
      </c>
      <c r="D14" s="33">
        <f t="shared" ref="D14" si="57">SUM(D11:D13)</f>
        <v>116033150.93991117</v>
      </c>
      <c r="E14" s="50">
        <f>SUM(E11:E13)-0.01</f>
        <v>89319665.389999971</v>
      </c>
      <c r="F14" s="33">
        <f>SUM(F11:F13)</f>
        <v>34258611.349999987</v>
      </c>
      <c r="G14" s="51">
        <f t="shared" ref="G14" si="58">SUM(G11:G13)</f>
        <v>16915145.690000005</v>
      </c>
      <c r="H14" s="33">
        <f t="shared" ref="H14" si="59">SUM(H11:H13)</f>
        <v>53146344.694771826</v>
      </c>
      <c r="I14" s="50">
        <f t="shared" ref="I14" si="60">SUM(I11:I13)</f>
        <v>7631873.8792141499</v>
      </c>
      <c r="J14" s="33">
        <f t="shared" ref="J14" si="61">SUM(J11:J13)</f>
        <v>3397670.0099999877</v>
      </c>
      <c r="K14" s="51">
        <f t="shared" ref="K14" si="62">SUM(K11:K13)</f>
        <v>3440728.8799999929</v>
      </c>
      <c r="L14" s="33">
        <f t="shared" ref="L14" si="63">SUM(L11:L13)</f>
        <v>28922601.609999992</v>
      </c>
      <c r="M14" s="50">
        <f t="shared" ref="M14" si="64">SUM(M11:M13)</f>
        <v>33555608.109999999</v>
      </c>
      <c r="N14" s="33">
        <f t="shared" ref="N14" si="65">SUM(N11:N13)</f>
        <v>29944225.379999988</v>
      </c>
      <c r="O14" s="51">
        <f t="shared" ref="O14" si="66">SUM(O11:O13)</f>
        <v>14480235.779999997</v>
      </c>
      <c r="P14" s="33">
        <f t="shared" ref="P14" si="67">SUM(P11:P13)</f>
        <v>30405175.289999995</v>
      </c>
      <c r="Q14" s="50">
        <f t="shared" ref="Q14" si="68">SUM(Q11:Q13)</f>
        <v>27008905.500000007</v>
      </c>
      <c r="R14" s="33">
        <f t="shared" ref="R14" si="69">SUM(R11:R13)</f>
        <v>20731440.88000001</v>
      </c>
      <c r="S14" s="51">
        <f t="shared" ref="S14" si="70">SUM(S11:S13)</f>
        <v>11602677.990000002</v>
      </c>
      <c r="T14" s="33">
        <f t="shared" ref="T14" si="71">SUM(T11:T13)</f>
        <v>41789356.870000012</v>
      </c>
      <c r="U14" s="50">
        <f t="shared" ref="U14" si="72">SUM(U11:U13)</f>
        <v>38646060.649999984</v>
      </c>
      <c r="V14" s="33">
        <f t="shared" ref="V14:X14" si="73">SUM(V11:V13)</f>
        <v>33959237.530000001</v>
      </c>
      <c r="W14" s="51">
        <f t="shared" ref="W14" si="74">SUM(W11:W13)</f>
        <v>16291675.290000008</v>
      </c>
      <c r="X14" s="33">
        <f t="shared" si="73"/>
        <v>22848027.859999999</v>
      </c>
      <c r="Y14" s="50">
        <f t="shared" ref="Y14" si="75">SUM(Y11:Y13)</f>
        <v>15985982.050000003</v>
      </c>
      <c r="Z14" s="33">
        <f t="shared" ref="Z14:AE14" si="76">SUM(Z11:Z13)</f>
        <v>15123837.69999999</v>
      </c>
      <c r="AA14" s="51">
        <f t="shared" si="76"/>
        <v>5825898.6499999948</v>
      </c>
      <c r="AB14" s="33">
        <f t="shared" si="76"/>
        <v>13137681.624236986</v>
      </c>
      <c r="AC14" s="118">
        <f t="shared" si="76"/>
        <v>6307284.4899999872</v>
      </c>
      <c r="AD14" s="33">
        <f t="shared" si="76"/>
        <v>9656230.6389241889</v>
      </c>
      <c r="AE14" s="51">
        <f t="shared" si="76"/>
        <v>9135927.1404857896</v>
      </c>
      <c r="AF14" s="33">
        <f>AF11+AF12+AF13</f>
        <v>5577192.3578756507</v>
      </c>
      <c r="AG14" s="50">
        <f>SUM(AG11:AG13)</f>
        <v>7184752.6598111158</v>
      </c>
      <c r="AH14" s="33">
        <f>AH11+AH12+AH13</f>
        <v>4614502.1355076302</v>
      </c>
      <c r="AI14" s="51">
        <f>SUM(AI11:AI13)</f>
        <v>3817939.6670467253</v>
      </c>
      <c r="AJ14" s="33">
        <f>AJ11+AJ12+AJ13</f>
        <v>19070247.003120139</v>
      </c>
      <c r="AK14" s="50">
        <f>SUM(AK11:AK13)</f>
        <v>11263153.487558344</v>
      </c>
      <c r="AL14" s="33">
        <f>AL11+AL12+AL13</f>
        <v>14762731.659999987</v>
      </c>
      <c r="AM14" s="51">
        <f>SUM(AM11:AM13)</f>
        <v>5643561.0699999994</v>
      </c>
      <c r="AN14" s="33">
        <f>AN11+AN12+AN13</f>
        <v>6136921.0799999945</v>
      </c>
      <c r="AO14" s="50">
        <f>SUM(AO11:AO13)</f>
        <v>6950274.2699999874</v>
      </c>
      <c r="AP14" s="33">
        <f>AP11+AP12+AP13</f>
        <v>14399594.390000001</v>
      </c>
      <c r="AQ14" s="51">
        <v>3012736.99</v>
      </c>
      <c r="AR14" s="128">
        <v>16844199.199999999</v>
      </c>
      <c r="AS14" s="50">
        <v>18365857.190000001</v>
      </c>
      <c r="AT14" s="49">
        <v>19451682.870000001</v>
      </c>
      <c r="AU14" s="51">
        <v>7073010.3499999996</v>
      </c>
      <c r="AV14" s="49">
        <v>8637247.9000000004</v>
      </c>
      <c r="AW14" s="50">
        <v>13181086.890000001</v>
      </c>
      <c r="AX14" s="49">
        <v>13822560.07</v>
      </c>
      <c r="AY14" s="51">
        <v>5842310.7300000004</v>
      </c>
      <c r="AZ14" s="49">
        <v>10787589.09</v>
      </c>
      <c r="BA14" s="50">
        <v>9099741.9800000004</v>
      </c>
      <c r="BB14" s="49">
        <v>9871605.9600000009</v>
      </c>
      <c r="BC14" s="244">
        <v>5160072.24</v>
      </c>
      <c r="BD14" s="250">
        <f>SUM(BD11:BD13)</f>
        <v>9135927.1404857896</v>
      </c>
      <c r="BE14" s="118">
        <f t="shared" si="0"/>
        <v>-1607560.3019354651</v>
      </c>
      <c r="BF14" s="31">
        <f>SUM(BF11:BF13)</f>
        <v>2570250.5243034842</v>
      </c>
      <c r="BG14" s="118">
        <f t="shared" si="0"/>
        <v>796562.4684609049</v>
      </c>
      <c r="BH14" s="250">
        <f>SUM(BH11:BH13)</f>
        <v>3817939.6670467253</v>
      </c>
      <c r="BI14" s="118">
        <f t="shared" si="0"/>
        <v>7807093.5155617949</v>
      </c>
      <c r="BJ14" s="31">
        <f>SUM(BJ11:BJ13)</f>
        <v>-3499578.1724416446</v>
      </c>
      <c r="BK14" s="118">
        <f t="shared" si="0"/>
        <v>9119170.5899999887</v>
      </c>
      <c r="BL14" s="250">
        <f>SUM(BL11:BL13)</f>
        <v>5643561.0699999994</v>
      </c>
      <c r="BM14" s="341">
        <f>BM11+BM12+BM13</f>
        <v>-813353.18999999342</v>
      </c>
      <c r="BN14" s="31">
        <f>SUM(BN11:BN13)</f>
        <v>-7449320.1200000141</v>
      </c>
      <c r="BO14" s="118">
        <f t="shared" si="1"/>
        <v>11386857.4</v>
      </c>
      <c r="BP14" s="182">
        <v>3012736.99</v>
      </c>
      <c r="BQ14" s="32">
        <v>-1521657.9900000021</v>
      </c>
      <c r="BR14" s="31">
        <v>-1085825.6799999997</v>
      </c>
      <c r="BS14" s="32">
        <v>12378672.520000001</v>
      </c>
      <c r="BT14" s="159">
        <v>7073010.3499999996</v>
      </c>
      <c r="BU14" s="32">
        <v>-4543838.99</v>
      </c>
      <c r="BV14" s="31">
        <v>-641473.1799999997</v>
      </c>
      <c r="BW14" s="32">
        <v>7980249.3399999999</v>
      </c>
      <c r="BX14" s="159">
        <v>5842310.7300000004</v>
      </c>
      <c r="BY14" s="32">
        <v>1687847.1099999994</v>
      </c>
      <c r="BZ14" s="31">
        <v>-771863.98000000045</v>
      </c>
      <c r="CA14" s="32">
        <v>4711533.7200000007</v>
      </c>
      <c r="CB14" s="31">
        <v>5160072.24</v>
      </c>
    </row>
    <row r="15" spans="1:80" ht="27.9" customHeight="1">
      <c r="A15" s="7" t="s">
        <v>68</v>
      </c>
      <c r="B15" s="30">
        <v>5346476.8</v>
      </c>
      <c r="C15" s="48">
        <v>2763268.5600000005</v>
      </c>
      <c r="D15" s="30">
        <v>6848445.9199999999</v>
      </c>
      <c r="E15" s="23">
        <v>4553503.78</v>
      </c>
      <c r="F15" s="30">
        <v>3669940.17</v>
      </c>
      <c r="G15" s="48">
        <v>1768715.44</v>
      </c>
      <c r="H15" s="30">
        <v>3778680.5500000017</v>
      </c>
      <c r="I15" s="23">
        <v>3835443.0699999994</v>
      </c>
      <c r="J15" s="30">
        <v>1699681.43</v>
      </c>
      <c r="K15" s="48">
        <v>103757.03</v>
      </c>
      <c r="L15" s="30">
        <f>57050.45-0.01</f>
        <v>57050.439999999995</v>
      </c>
      <c r="M15" s="23">
        <v>71666.899999999994</v>
      </c>
      <c r="N15" s="30">
        <v>30482.48</v>
      </c>
      <c r="O15" s="48">
        <v>24067.54</v>
      </c>
      <c r="P15" s="30">
        <v>826695.7</v>
      </c>
      <c r="Q15" s="23">
        <v>644994.09</v>
      </c>
      <c r="R15" s="30">
        <v>529912.46</v>
      </c>
      <c r="S15" s="48">
        <v>81895.039999999994</v>
      </c>
      <c r="T15" s="30">
        <v>619613.30000000005</v>
      </c>
      <c r="U15" s="23">
        <v>430437.85</v>
      </c>
      <c r="V15" s="30">
        <v>19491.87</v>
      </c>
      <c r="W15" s="48">
        <v>8958.69</v>
      </c>
      <c r="X15" s="30">
        <v>6214866.2599999998</v>
      </c>
      <c r="Y15" s="23">
        <v>6099466.71</v>
      </c>
      <c r="Z15" s="30">
        <v>5977097.5099999998</v>
      </c>
      <c r="AA15" s="48">
        <v>108614.17</v>
      </c>
      <c r="AB15" s="30">
        <v>273391.15999999986</v>
      </c>
      <c r="AC15" s="471">
        <v>273076.92</v>
      </c>
      <c r="AD15" s="30">
        <v>108143.46000000002</v>
      </c>
      <c r="AE15" s="48">
        <v>4731.6299999999992</v>
      </c>
      <c r="AF15" s="30">
        <v>2529426.8400000008</v>
      </c>
      <c r="AG15" s="23">
        <v>1626015.0999999999</v>
      </c>
      <c r="AH15" s="30">
        <v>1722711.6699999997</v>
      </c>
      <c r="AI15" s="48">
        <v>828272.50000000012</v>
      </c>
      <c r="AJ15" s="30">
        <v>626079.55000000028</v>
      </c>
      <c r="AK15" s="23">
        <v>399895.31000000046</v>
      </c>
      <c r="AL15" s="30">
        <v>180455.65</v>
      </c>
      <c r="AM15" s="48">
        <v>130720.86</v>
      </c>
      <c r="AN15" s="30">
        <v>1054386.6000000001</v>
      </c>
      <c r="AO15" s="23">
        <v>1229806.79</v>
      </c>
      <c r="AP15" s="30">
        <v>1154020.77</v>
      </c>
      <c r="AQ15" s="48">
        <v>906616.85</v>
      </c>
      <c r="AR15" s="126">
        <v>1279986.42</v>
      </c>
      <c r="AS15" s="23">
        <v>908700.65</v>
      </c>
      <c r="AT15" s="47">
        <v>321402.57</v>
      </c>
      <c r="AU15" s="48">
        <v>363935.74</v>
      </c>
      <c r="AV15" s="47">
        <v>928435.14</v>
      </c>
      <c r="AW15" s="23">
        <v>573879.81999999995</v>
      </c>
      <c r="AX15" s="47">
        <v>277427.84999999998</v>
      </c>
      <c r="AY15" s="48">
        <v>153740.26999999999</v>
      </c>
      <c r="AZ15" s="47">
        <v>411878.49</v>
      </c>
      <c r="BA15" s="23">
        <v>483971.89</v>
      </c>
      <c r="BB15" s="47">
        <v>258633.02</v>
      </c>
      <c r="BC15" s="243">
        <v>267129</v>
      </c>
      <c r="BD15" s="249">
        <f t="shared" si="26"/>
        <v>4731.6299999999992</v>
      </c>
      <c r="BE15" s="23">
        <f t="shared" si="0"/>
        <v>903411.74000000092</v>
      </c>
      <c r="BF15" s="28">
        <f t="shared" si="27"/>
        <v>-96696.569999999832</v>
      </c>
      <c r="BG15" s="23">
        <f t="shared" si="0"/>
        <v>894439.16999999958</v>
      </c>
      <c r="BH15" s="249">
        <f t="shared" si="28"/>
        <v>828272.50000000012</v>
      </c>
      <c r="BI15" s="23">
        <f t="shared" si="0"/>
        <v>226184.23999999982</v>
      </c>
      <c r="BJ15" s="28">
        <f t="shared" si="29"/>
        <v>219439.66000000047</v>
      </c>
      <c r="BK15" s="23">
        <f t="shared" si="0"/>
        <v>49734.789999999994</v>
      </c>
      <c r="BL15" s="249">
        <v>130720.86</v>
      </c>
      <c r="BM15" s="340">
        <f t="shared" si="30"/>
        <v>-175420.18999999994</v>
      </c>
      <c r="BN15" s="28">
        <f t="shared" si="31"/>
        <v>75786.020000000019</v>
      </c>
      <c r="BO15" s="23">
        <f t="shared" si="1"/>
        <v>247403.92000000004</v>
      </c>
      <c r="BP15" s="181">
        <v>906616.85</v>
      </c>
      <c r="BQ15" s="29">
        <v>371285.7699999999</v>
      </c>
      <c r="BR15" s="28">
        <v>587298.08000000007</v>
      </c>
      <c r="BS15" s="29">
        <v>-42533.169999999984</v>
      </c>
      <c r="BT15" s="158">
        <v>363935.74</v>
      </c>
      <c r="BU15" s="29">
        <v>354555.32000000007</v>
      </c>
      <c r="BV15" s="28">
        <v>296451.96999999997</v>
      </c>
      <c r="BW15" s="29">
        <v>123687.57999999999</v>
      </c>
      <c r="BX15" s="158">
        <v>153740.26999999999</v>
      </c>
      <c r="BY15" s="29">
        <v>-72093.400000000023</v>
      </c>
      <c r="BZ15" s="28">
        <v>225338.87000000002</v>
      </c>
      <c r="CA15" s="29">
        <v>-8495.9800000000105</v>
      </c>
      <c r="CB15" s="28">
        <v>267129</v>
      </c>
    </row>
    <row r="16" spans="1:80" ht="27.9" customHeight="1">
      <c r="A16" s="7" t="s">
        <v>69</v>
      </c>
      <c r="B16" s="30">
        <v>-1672171.92</v>
      </c>
      <c r="C16" s="48">
        <v>-498969.20584700018</v>
      </c>
      <c r="D16" s="30">
        <v>-1794963.0933689144</v>
      </c>
      <c r="E16" s="23">
        <v>-1738703.24</v>
      </c>
      <c r="F16" s="30">
        <v>-1065273.3400000001</v>
      </c>
      <c r="G16" s="48">
        <v>-488972.06</v>
      </c>
      <c r="H16" s="30">
        <v>-3197639.5511795813</v>
      </c>
      <c r="I16" s="23">
        <v>-2523874.0829109992</v>
      </c>
      <c r="J16" s="30">
        <v>-1841530.59</v>
      </c>
      <c r="K16" s="48">
        <v>-947298.92</v>
      </c>
      <c r="L16" s="30">
        <v>-4042036.97</v>
      </c>
      <c r="M16" s="23">
        <v>-2790191.58</v>
      </c>
      <c r="N16" s="30">
        <v>-1677993.21</v>
      </c>
      <c r="O16" s="48">
        <v>-653508.39</v>
      </c>
      <c r="P16" s="30">
        <v>-1787153.53</v>
      </c>
      <c r="Q16" s="23">
        <v>-1196361.76</v>
      </c>
      <c r="R16" s="30">
        <v>-784004.33</v>
      </c>
      <c r="S16" s="48">
        <v>-415614</v>
      </c>
      <c r="T16" s="30">
        <v>-3936538.55</v>
      </c>
      <c r="U16" s="23">
        <v>-2833480.28</v>
      </c>
      <c r="V16" s="30">
        <v>-2153128.98</v>
      </c>
      <c r="W16" s="48">
        <v>-1233328.81</v>
      </c>
      <c r="X16" s="30">
        <v>-3447723.16</v>
      </c>
      <c r="Y16" s="23">
        <v>-2678055.06</v>
      </c>
      <c r="Z16" s="30">
        <v>-1843058.59</v>
      </c>
      <c r="AA16" s="48">
        <v>-761830.52</v>
      </c>
      <c r="AB16" s="30">
        <v>-4427551.7999999989</v>
      </c>
      <c r="AC16" s="23">
        <v>-3471703.01</v>
      </c>
      <c r="AD16" s="30">
        <v>-2843543.8199999994</v>
      </c>
      <c r="AE16" s="48">
        <v>-1283152.67</v>
      </c>
      <c r="AF16" s="30">
        <v>-3617758.8599999994</v>
      </c>
      <c r="AG16" s="23">
        <v>-2538289.6010000003</v>
      </c>
      <c r="AH16" s="30">
        <v>-1631939.3000000003</v>
      </c>
      <c r="AI16" s="48">
        <v>-721429.62000000011</v>
      </c>
      <c r="AJ16" s="30">
        <v>-4834284.62</v>
      </c>
      <c r="AK16" s="23">
        <v>-3233242.46</v>
      </c>
      <c r="AL16" s="30">
        <v>-2948947.1</v>
      </c>
      <c r="AM16" s="48">
        <v>-855675.66</v>
      </c>
      <c r="AN16" s="30">
        <v>-3477586.88</v>
      </c>
      <c r="AO16" s="23">
        <v>-2556325.58</v>
      </c>
      <c r="AP16" s="30">
        <v>-1794605.35</v>
      </c>
      <c r="AQ16" s="48">
        <v>-877561.37</v>
      </c>
      <c r="AR16" s="126">
        <v>-4227635.37</v>
      </c>
      <c r="AS16" s="23">
        <v>-3029361</v>
      </c>
      <c r="AT16" s="47">
        <v>-2070352.53</v>
      </c>
      <c r="AU16" s="48">
        <v>-876604.81</v>
      </c>
      <c r="AV16" s="47">
        <v>-3861831.39</v>
      </c>
      <c r="AW16" s="23">
        <v>-3126458.9</v>
      </c>
      <c r="AX16" s="47">
        <v>-2277644.75</v>
      </c>
      <c r="AY16" s="48">
        <v>-949329.57</v>
      </c>
      <c r="AZ16" s="47">
        <v>-5126601.71</v>
      </c>
      <c r="BA16" s="23">
        <v>-3855825.1</v>
      </c>
      <c r="BB16" s="47">
        <v>-2647260.59</v>
      </c>
      <c r="BC16" s="243">
        <v>-1231140.68</v>
      </c>
      <c r="BD16" s="249">
        <f t="shared" si="26"/>
        <v>-1283152.67</v>
      </c>
      <c r="BE16" s="23">
        <f t="shared" si="0"/>
        <v>-1079469.2589999991</v>
      </c>
      <c r="BF16" s="28">
        <f t="shared" si="27"/>
        <v>-906350.30099999998</v>
      </c>
      <c r="BG16" s="23">
        <f t="shared" si="0"/>
        <v>-910509.68000000017</v>
      </c>
      <c r="BH16" s="249">
        <f t="shared" si="28"/>
        <v>-721429.62000000011</v>
      </c>
      <c r="BI16" s="23">
        <f t="shared" si="0"/>
        <v>-1601042.1600000001</v>
      </c>
      <c r="BJ16" s="28">
        <f t="shared" si="29"/>
        <v>-284295.35999999987</v>
      </c>
      <c r="BK16" s="23">
        <f t="shared" si="0"/>
        <v>-2093271.44</v>
      </c>
      <c r="BL16" s="249">
        <v>-855675.66</v>
      </c>
      <c r="BM16" s="340">
        <f t="shared" si="30"/>
        <v>-921261.29999999981</v>
      </c>
      <c r="BN16" s="28">
        <f t="shared" si="31"/>
        <v>-761720.23</v>
      </c>
      <c r="BO16" s="23">
        <f t="shared" si="1"/>
        <v>-917043.9800000001</v>
      </c>
      <c r="BP16" s="181">
        <v>-877561.37</v>
      </c>
      <c r="BQ16" s="29">
        <v>-1198274.3700000001</v>
      </c>
      <c r="BR16" s="28">
        <v>-959008.47</v>
      </c>
      <c r="BS16" s="29">
        <v>-1193747.72</v>
      </c>
      <c r="BT16" s="158">
        <v>-876604.81</v>
      </c>
      <c r="BU16" s="29">
        <v>-735372.49000000022</v>
      </c>
      <c r="BV16" s="28">
        <v>-848814.14999999991</v>
      </c>
      <c r="BW16" s="29">
        <v>-1328315.1800000002</v>
      </c>
      <c r="BX16" s="158">
        <v>-949329.57</v>
      </c>
      <c r="BY16" s="29">
        <v>-1270776.6099999999</v>
      </c>
      <c r="BZ16" s="28">
        <v>-1208564.5100000002</v>
      </c>
      <c r="CA16" s="29">
        <v>-1416119.91</v>
      </c>
      <c r="CB16" s="28">
        <v>-1231140.68</v>
      </c>
    </row>
    <row r="17" spans="1:80" ht="27.9" customHeight="1">
      <c r="A17" s="15" t="s">
        <v>120</v>
      </c>
      <c r="B17" s="183">
        <v>6713.22</v>
      </c>
      <c r="C17" s="48">
        <v>5475.65</v>
      </c>
      <c r="D17" s="183">
        <v>2031.39</v>
      </c>
      <c r="E17" s="23">
        <v>7828.29</v>
      </c>
      <c r="F17" s="183">
        <v>-1851.82</v>
      </c>
      <c r="G17" s="48">
        <v>-12896.25</v>
      </c>
      <c r="H17" s="183">
        <v>-29543.41</v>
      </c>
      <c r="I17" s="23">
        <v>-17971.79</v>
      </c>
      <c r="J17" s="183">
        <v>-12139.23</v>
      </c>
      <c r="K17" s="48">
        <v>-6295.93</v>
      </c>
      <c r="L17" s="183">
        <v>-43963.01</v>
      </c>
      <c r="M17" s="23">
        <v>-41134.49</v>
      </c>
      <c r="N17" s="183">
        <v>-30089.64</v>
      </c>
      <c r="O17" s="48">
        <v>-13890.3</v>
      </c>
      <c r="P17" s="183">
        <v>-14429.28</v>
      </c>
      <c r="Q17" s="23">
        <v>-1474.55</v>
      </c>
      <c r="R17" s="183">
        <v>-6757.84</v>
      </c>
      <c r="S17" s="48">
        <v>-4224.4799999999996</v>
      </c>
      <c r="T17" s="183">
        <v>14566.25</v>
      </c>
      <c r="U17" s="23">
        <v>11096.74</v>
      </c>
      <c r="V17" s="183">
        <v>5257.4</v>
      </c>
      <c r="W17" s="48">
        <v>2821.47</v>
      </c>
      <c r="X17" s="183">
        <v>-108668.83</v>
      </c>
      <c r="Y17" s="23">
        <v>-76772.91</v>
      </c>
      <c r="Z17" s="183">
        <v>-65552.570000000007</v>
      </c>
      <c r="AA17" s="48">
        <v>-35657.370000000003</v>
      </c>
      <c r="AB17" s="183">
        <v>-385379.66000000003</v>
      </c>
      <c r="AC17" s="23">
        <v>-298632.31</v>
      </c>
      <c r="AD17" s="183">
        <v>-36198.76</v>
      </c>
      <c r="AE17" s="48">
        <v>-30864.7</v>
      </c>
      <c r="AF17" s="183">
        <v>-116906.03</v>
      </c>
      <c r="AG17" s="23">
        <v>-105843.78</v>
      </c>
      <c r="AH17" s="183">
        <v>177020.71000000002</v>
      </c>
      <c r="AI17" s="48">
        <v>157499.11680000013</v>
      </c>
      <c r="AJ17" s="183">
        <v>356776.83130000031</v>
      </c>
      <c r="AK17" s="23">
        <v>408293.47000000003</v>
      </c>
      <c r="AL17" s="183">
        <v>395824.26</v>
      </c>
      <c r="AM17" s="48">
        <v>160626.13</v>
      </c>
      <c r="AN17" s="183">
        <v>90520.99</v>
      </c>
      <c r="AO17" s="23">
        <v>45353.27</v>
      </c>
      <c r="AP17" s="183">
        <v>78944.19</v>
      </c>
      <c r="AQ17" s="48">
        <v>-56772.26</v>
      </c>
      <c r="AR17" s="126">
        <v>-359696.64000000001</v>
      </c>
      <c r="AS17" s="23">
        <v>20782.689999999999</v>
      </c>
      <c r="AT17" s="47">
        <v>20782.689999999999</v>
      </c>
      <c r="AU17" s="48">
        <v>0</v>
      </c>
      <c r="AV17" s="47">
        <v>-76731.539999999994</v>
      </c>
      <c r="AW17" s="23">
        <v>-38203.56</v>
      </c>
      <c r="AX17" s="47">
        <v>-38203.56</v>
      </c>
      <c r="AY17" s="48"/>
      <c r="AZ17" s="47">
        <v>-63595.78</v>
      </c>
      <c r="BA17" s="23">
        <v>-32852.46</v>
      </c>
      <c r="BB17" s="47">
        <v>-32852.46</v>
      </c>
      <c r="BC17" s="243"/>
      <c r="BD17" s="249">
        <f t="shared" si="26"/>
        <v>-30864.7</v>
      </c>
      <c r="BE17" s="23">
        <f t="shared" si="0"/>
        <v>-11062.25</v>
      </c>
      <c r="BF17" s="28">
        <f t="shared" si="27"/>
        <v>-282864.49</v>
      </c>
      <c r="BG17" s="23">
        <f t="shared" si="0"/>
        <v>19521.593199999887</v>
      </c>
      <c r="BH17" s="249">
        <f t="shared" si="28"/>
        <v>157499.11680000013</v>
      </c>
      <c r="BI17" s="23">
        <f t="shared" si="0"/>
        <v>-51516.638699999719</v>
      </c>
      <c r="BJ17" s="28">
        <f t="shared" si="29"/>
        <v>12469.210000000021</v>
      </c>
      <c r="BK17" s="23">
        <f t="shared" si="0"/>
        <v>235198.13</v>
      </c>
      <c r="BL17" s="249">
        <v>160626.13</v>
      </c>
      <c r="BM17" s="340">
        <f t="shared" si="30"/>
        <v>45167.720000000008</v>
      </c>
      <c r="BN17" s="28">
        <f t="shared" si="31"/>
        <v>-33590.920000000006</v>
      </c>
      <c r="BO17" s="23">
        <f t="shared" si="1"/>
        <v>135716.45000000001</v>
      </c>
      <c r="BP17" s="181">
        <v>-56772.26</v>
      </c>
      <c r="BQ17" s="29">
        <v>-380479.33</v>
      </c>
      <c r="BR17" s="28">
        <v>0</v>
      </c>
      <c r="BS17" s="29">
        <v>20782.689999999999</v>
      </c>
      <c r="BT17" s="158">
        <v>0</v>
      </c>
      <c r="BU17" s="29">
        <v>-38527.979999999996</v>
      </c>
      <c r="BV17" s="28">
        <v>0</v>
      </c>
      <c r="BW17" s="29">
        <v>-38203.56</v>
      </c>
      <c r="BX17" s="158"/>
      <c r="BY17" s="29">
        <v>-30743.32</v>
      </c>
      <c r="BZ17" s="28">
        <v>0</v>
      </c>
      <c r="CA17" s="29">
        <v>-32852.46</v>
      </c>
      <c r="CB17" s="28"/>
    </row>
    <row r="18" spans="1:80" ht="27.9" customHeight="1">
      <c r="A18" s="6" t="s">
        <v>70</v>
      </c>
      <c r="B18" s="33">
        <f>SUM(B14:B17)</f>
        <v>72488741.709999979</v>
      </c>
      <c r="C18" s="51">
        <f t="shared" ref="C18" si="77">SUM(C14:C17)</f>
        <v>14450480.006030828</v>
      </c>
      <c r="D18" s="33">
        <f>SUM(D14:D17)</f>
        <v>121088665.15654226</v>
      </c>
      <c r="E18" s="50">
        <f t="shared" ref="E18" si="78">SUM(E14:E17)</f>
        <v>92142294.219999984</v>
      </c>
      <c r="F18" s="33">
        <f>SUM(F14:F17)</f>
        <v>36861426.359999985</v>
      </c>
      <c r="G18" s="51">
        <f t="shared" ref="G18" si="79">SUM(G14:G17)</f>
        <v>18181992.820000008</v>
      </c>
      <c r="H18" s="33">
        <f>SUM(H14:H17)</f>
        <v>53697842.283592254</v>
      </c>
      <c r="I18" s="50">
        <f t="shared" ref="I18" si="80">SUM(I14:I17)</f>
        <v>8925471.0763031505</v>
      </c>
      <c r="J18" s="33">
        <f>SUM(J14:J17)</f>
        <v>3243681.6199999875</v>
      </c>
      <c r="K18" s="51">
        <f t="shared" ref="K18" si="81">SUM(K14:K17)</f>
        <v>2590891.0599999926</v>
      </c>
      <c r="L18" s="33">
        <f>SUM(L14:L17)</f>
        <v>24893652.069999993</v>
      </c>
      <c r="M18" s="50">
        <f t="shared" ref="M18" si="82">SUM(M14:M17)</f>
        <v>30795948.940000001</v>
      </c>
      <c r="N18" s="33">
        <f t="shared" ref="N18" si="83">SUM(N14:N17)</f>
        <v>28266625.009999987</v>
      </c>
      <c r="O18" s="51">
        <f t="shared" ref="O18" si="84">SUM(O14:O17)</f>
        <v>13836904.629999995</v>
      </c>
      <c r="P18" s="33">
        <f>SUM(P14:P17)</f>
        <v>29430288.179999992</v>
      </c>
      <c r="Q18" s="50">
        <f t="shared" ref="Q18" si="85">SUM(Q14:Q17)</f>
        <v>26456063.280000005</v>
      </c>
      <c r="R18" s="33">
        <f t="shared" ref="R18" si="86">SUM(R14:R17)</f>
        <v>20470591.170000013</v>
      </c>
      <c r="S18" s="51">
        <f t="shared" ref="S18" si="87">SUM(S14:S17)</f>
        <v>11264734.550000001</v>
      </c>
      <c r="T18" s="33">
        <f>SUM(T14:T17)+0.01</f>
        <v>38486997.88000001</v>
      </c>
      <c r="U18" s="50">
        <f t="shared" ref="U18" si="88">SUM(U14:U17)</f>
        <v>36254114.959999986</v>
      </c>
      <c r="V18" s="33">
        <f t="shared" ref="V18:X18" si="89">SUM(V14:V17)</f>
        <v>31830857.819999997</v>
      </c>
      <c r="W18" s="51">
        <f t="shared" ref="W18" si="90">SUM(W14:W17)</f>
        <v>15070126.640000008</v>
      </c>
      <c r="X18" s="33">
        <f t="shared" si="89"/>
        <v>25506502.129999999</v>
      </c>
      <c r="Y18" s="50">
        <f t="shared" ref="Y18" si="91">SUM(Y14:Y17)</f>
        <v>19330620.790000003</v>
      </c>
      <c r="Z18" s="33">
        <f t="shared" ref="Z18:AE18" si="92">SUM(Z14:Z17)</f>
        <v>19192324.04999999</v>
      </c>
      <c r="AA18" s="51">
        <f t="shared" si="92"/>
        <v>5137024.929999995</v>
      </c>
      <c r="AB18" s="33">
        <f t="shared" si="92"/>
        <v>8598141.3242369872</v>
      </c>
      <c r="AC18" s="118">
        <f t="shared" si="92"/>
        <v>2810026.0899999873</v>
      </c>
      <c r="AD18" s="33">
        <f t="shared" si="92"/>
        <v>6884631.5189241907</v>
      </c>
      <c r="AE18" s="51">
        <f t="shared" si="92"/>
        <v>7826641.4004857903</v>
      </c>
      <c r="AF18" s="33">
        <f>AF14+AF15+AF16+AF17</f>
        <v>4371954.3078756519</v>
      </c>
      <c r="AG18" s="50">
        <f>SUM(AG14:AG17)</f>
        <v>6166634.3788111163</v>
      </c>
      <c r="AH18" s="33">
        <f>AH14+AH15+AH16+AH17</f>
        <v>4882295.2155076293</v>
      </c>
      <c r="AI18" s="51">
        <f>SUM(AI14:AI17)</f>
        <v>4082281.6638467256</v>
      </c>
      <c r="AJ18" s="33">
        <f>AJ14+AJ15+AJ16+AJ17</f>
        <v>15218818.764420139</v>
      </c>
      <c r="AK18" s="50">
        <f>SUM(AK14:AK17)</f>
        <v>8838099.8075583447</v>
      </c>
      <c r="AL18" s="33">
        <f>AL14+AL15+AL16+AL17</f>
        <v>12390064.469999988</v>
      </c>
      <c r="AM18" s="51">
        <f>SUM(AM14:AM17)</f>
        <v>5079232.3999999994</v>
      </c>
      <c r="AN18" s="33">
        <f>AN14+AN15+AN16+AN17</f>
        <v>3804241.7899999944</v>
      </c>
      <c r="AO18" s="50">
        <f>SUM(AO14:AO17)</f>
        <v>5669108.749999987</v>
      </c>
      <c r="AP18" s="33">
        <f>AP14+AP15+AP16+AP17</f>
        <v>13837954</v>
      </c>
      <c r="AQ18" s="51">
        <v>2985020.21</v>
      </c>
      <c r="AR18" s="128">
        <v>13536853.609999999</v>
      </c>
      <c r="AS18" s="50">
        <v>16265979.529999999</v>
      </c>
      <c r="AT18" s="49">
        <v>17723515.600000001</v>
      </c>
      <c r="AU18" s="51">
        <v>6560341.2800000003</v>
      </c>
      <c r="AV18" s="49">
        <v>5627120.1100000003</v>
      </c>
      <c r="AW18" s="50">
        <v>10590304.25</v>
      </c>
      <c r="AX18" s="49">
        <v>11784139.609999999</v>
      </c>
      <c r="AY18" s="51">
        <v>5046721.43</v>
      </c>
      <c r="AZ18" s="49">
        <v>6009270.0899999999</v>
      </c>
      <c r="BA18" s="50">
        <v>5695036.3099999996</v>
      </c>
      <c r="BB18" s="49">
        <v>7450125.9299999997</v>
      </c>
      <c r="BC18" s="244">
        <v>4196060.5599999996</v>
      </c>
      <c r="BD18" s="250">
        <f>SUM(BD14:BD17)</f>
        <v>7826641.4004857903</v>
      </c>
      <c r="BE18" s="118">
        <f t="shared" si="0"/>
        <v>-1794680.0709354645</v>
      </c>
      <c r="BF18" s="31">
        <f>SUM(BF14:BF17)</f>
        <v>1284339.1633034844</v>
      </c>
      <c r="BG18" s="118">
        <f t="shared" si="0"/>
        <v>800013.55166090373</v>
      </c>
      <c r="BH18" s="250">
        <f>SUM(BH14:BH17)</f>
        <v>4082281.6638467256</v>
      </c>
      <c r="BI18" s="118">
        <f t="shared" si="0"/>
        <v>6380718.956861794</v>
      </c>
      <c r="BJ18" s="31">
        <f>SUM(BJ14:BJ17)</f>
        <v>-3551964.6624416439</v>
      </c>
      <c r="BK18" s="118">
        <f t="shared" si="0"/>
        <v>7310832.0699999882</v>
      </c>
      <c r="BL18" s="250">
        <f>SUM(BL14:BL17)</f>
        <v>5079232.3999999994</v>
      </c>
      <c r="BM18" s="341">
        <f>BM14+BM15+BM16+BM17</f>
        <v>-1864866.9599999932</v>
      </c>
      <c r="BN18" s="31">
        <f>SUM(BN14:BN17)</f>
        <v>-8168845.2500000149</v>
      </c>
      <c r="BO18" s="118">
        <f t="shared" si="1"/>
        <v>10852933.789999999</v>
      </c>
      <c r="BP18" s="182">
        <v>2985020.21</v>
      </c>
      <c r="BQ18" s="32">
        <v>-2729125.92</v>
      </c>
      <c r="BR18" s="31">
        <v>-1457536.0700000022</v>
      </c>
      <c r="BS18" s="32">
        <v>11163174.32</v>
      </c>
      <c r="BT18" s="159">
        <v>6560341.2800000003</v>
      </c>
      <c r="BU18" s="32">
        <v>-4963184.1399999997</v>
      </c>
      <c r="BV18" s="31">
        <v>-1193835.3599999994</v>
      </c>
      <c r="BW18" s="32">
        <v>6737418.1799999997</v>
      </c>
      <c r="BX18" s="159">
        <v>5046721.43</v>
      </c>
      <c r="BY18" s="32">
        <v>314233.78000000026</v>
      </c>
      <c r="BZ18" s="31">
        <v>-1755089.62</v>
      </c>
      <c r="CA18" s="32">
        <v>3254065.37</v>
      </c>
      <c r="CB18" s="31">
        <v>4196060.5599999996</v>
      </c>
    </row>
    <row r="19" spans="1:80" ht="27.9" customHeight="1">
      <c r="A19" s="7" t="s">
        <v>71</v>
      </c>
      <c r="B19" s="30">
        <v>-15090113</v>
      </c>
      <c r="C19" s="48">
        <v>-2545433</v>
      </c>
      <c r="D19" s="30">
        <v>-22171906</v>
      </c>
      <c r="E19" s="23">
        <v>-17779390</v>
      </c>
      <c r="F19" s="30">
        <v>-7081845</v>
      </c>
      <c r="G19" s="48">
        <v>-3479860</v>
      </c>
      <c r="H19" s="30">
        <v>-8221064.96</v>
      </c>
      <c r="I19" s="23">
        <v>-3522183.96</v>
      </c>
      <c r="J19" s="30">
        <v>-1865337.96</v>
      </c>
      <c r="K19" s="48">
        <v>-989756</v>
      </c>
      <c r="L19" s="30">
        <v>-4924002.96</v>
      </c>
      <c r="M19" s="23">
        <v>-5878705.96</v>
      </c>
      <c r="N19" s="30">
        <v>-4695389.96</v>
      </c>
      <c r="O19" s="48">
        <v>-1974655</v>
      </c>
      <c r="P19" s="30">
        <v>-5884080</v>
      </c>
      <c r="Q19" s="23">
        <v>-6005962</v>
      </c>
      <c r="R19" s="30">
        <v>-4287063</v>
      </c>
      <c r="S19" s="48">
        <v>-2530995</v>
      </c>
      <c r="T19" s="30">
        <v>-6976320</v>
      </c>
      <c r="U19" s="23">
        <v>-7127883</v>
      </c>
      <c r="V19" s="30">
        <v>-6172683</v>
      </c>
      <c r="W19" s="48">
        <v>-3454637</v>
      </c>
      <c r="X19" s="30">
        <v>-4863648</v>
      </c>
      <c r="Y19" s="23">
        <v>-3109517</v>
      </c>
      <c r="Z19" s="30">
        <v>-2962826</v>
      </c>
      <c r="AA19" s="48">
        <v>-779291</v>
      </c>
      <c r="AB19" s="30">
        <v>-1007081</v>
      </c>
      <c r="AC19" s="471">
        <v>-1667525</v>
      </c>
      <c r="AD19" s="30">
        <v>-2143473</v>
      </c>
      <c r="AE19" s="48">
        <v>-1631105</v>
      </c>
      <c r="AF19" s="30">
        <v>-2075401</v>
      </c>
      <c r="AG19" s="23">
        <v>-1996274</v>
      </c>
      <c r="AH19" s="30">
        <v>-1475022</v>
      </c>
      <c r="AI19" s="48">
        <v>-889251</v>
      </c>
      <c r="AJ19" s="30">
        <v>-2922980</v>
      </c>
      <c r="AK19" s="23">
        <v>-1765022</v>
      </c>
      <c r="AL19" s="30">
        <v>-2432230</v>
      </c>
      <c r="AM19" s="48">
        <v>-993443</v>
      </c>
      <c r="AN19" s="30">
        <v>-1888456</v>
      </c>
      <c r="AO19" s="23">
        <v>-3411046</v>
      </c>
      <c r="AP19" s="30">
        <v>-5393425</v>
      </c>
      <c r="AQ19" s="48">
        <v>-2548219</v>
      </c>
      <c r="AR19" s="126">
        <v>-1860126</v>
      </c>
      <c r="AS19" s="23">
        <v>-3440348</v>
      </c>
      <c r="AT19" s="47">
        <v>-3901601</v>
      </c>
      <c r="AU19" s="48">
        <v>-1501594</v>
      </c>
      <c r="AV19" s="47">
        <v>-2434183</v>
      </c>
      <c r="AW19" s="23">
        <v>-2940093</v>
      </c>
      <c r="AX19" s="47">
        <v>-3094058</v>
      </c>
      <c r="AY19" s="48">
        <v>-752490</v>
      </c>
      <c r="AZ19" s="47">
        <v>-292798</v>
      </c>
      <c r="BA19" s="23">
        <v>-878143</v>
      </c>
      <c r="BB19" s="47">
        <v>-1453211</v>
      </c>
      <c r="BC19" s="243">
        <v>-825104</v>
      </c>
      <c r="BD19" s="249">
        <f t="shared" si="26"/>
        <v>-1631105</v>
      </c>
      <c r="BE19" s="23">
        <f t="shared" si="0"/>
        <v>-79127</v>
      </c>
      <c r="BF19" s="28">
        <f t="shared" si="27"/>
        <v>-521252</v>
      </c>
      <c r="BG19" s="23">
        <f t="shared" si="0"/>
        <v>-585771</v>
      </c>
      <c r="BH19" s="249">
        <f t="shared" si="28"/>
        <v>-889251</v>
      </c>
      <c r="BI19" s="23">
        <f t="shared" si="0"/>
        <v>-1157958</v>
      </c>
      <c r="BJ19" s="28">
        <f t="shared" si="29"/>
        <v>667208</v>
      </c>
      <c r="BK19" s="23">
        <f t="shared" si="0"/>
        <v>-1438787</v>
      </c>
      <c r="BL19" s="249">
        <v>-993443</v>
      </c>
      <c r="BM19" s="340">
        <f t="shared" si="30"/>
        <v>1522590</v>
      </c>
      <c r="BN19" s="28">
        <f t="shared" si="31"/>
        <v>1982379</v>
      </c>
      <c r="BO19" s="23">
        <f t="shared" si="1"/>
        <v>-2845206</v>
      </c>
      <c r="BP19" s="181">
        <v>-2548219</v>
      </c>
      <c r="BQ19" s="29">
        <v>1580222</v>
      </c>
      <c r="BR19" s="28">
        <v>461253</v>
      </c>
      <c r="BS19" s="29">
        <v>-2400007</v>
      </c>
      <c r="BT19" s="158">
        <v>-1501594</v>
      </c>
      <c r="BU19" s="29">
        <v>505910</v>
      </c>
      <c r="BV19" s="28">
        <v>153965</v>
      </c>
      <c r="BW19" s="29">
        <v>-2341568</v>
      </c>
      <c r="BX19" s="158">
        <v>-752490</v>
      </c>
      <c r="BY19" s="29">
        <v>585345</v>
      </c>
      <c r="BZ19" s="28">
        <v>575068</v>
      </c>
      <c r="CA19" s="29">
        <v>-628107</v>
      </c>
      <c r="CB19" s="28">
        <v>-825104</v>
      </c>
    </row>
    <row r="20" spans="1:80" ht="27.9" customHeight="1">
      <c r="A20" s="7" t="s">
        <v>72</v>
      </c>
      <c r="B20" s="30">
        <v>-506427.15</v>
      </c>
      <c r="C20" s="48">
        <v>-344196.43583113002</v>
      </c>
      <c r="D20" s="30">
        <v>1604580.2678197992</v>
      </c>
      <c r="E20" s="23">
        <v>26503.95</v>
      </c>
      <c r="F20" s="30">
        <v>57906.2</v>
      </c>
      <c r="G20" s="48">
        <v>140188.82</v>
      </c>
      <c r="H20" s="30">
        <v>-124422</v>
      </c>
      <c r="I20" s="23">
        <v>2234960</v>
      </c>
      <c r="J20" s="30">
        <v>2334019</v>
      </c>
      <c r="K20" s="48">
        <v>547919</v>
      </c>
      <c r="L20" s="30">
        <v>415031.1</v>
      </c>
      <c r="M20" s="23">
        <v>516572</v>
      </c>
      <c r="N20" s="30">
        <v>-187194</v>
      </c>
      <c r="O20" s="48">
        <v>-531360.9</v>
      </c>
      <c r="P20" s="30">
        <v>534086.9</v>
      </c>
      <c r="Q20" s="23">
        <f>1505035.23</f>
        <v>1505035.23</v>
      </c>
      <c r="R20" s="30">
        <v>747211.9</v>
      </c>
      <c r="S20" s="48">
        <v>374085</v>
      </c>
      <c r="T20" s="30">
        <v>-388721</v>
      </c>
      <c r="U20" s="23">
        <v>204059</v>
      </c>
      <c r="V20" s="30">
        <v>145598</v>
      </c>
      <c r="W20" s="48">
        <v>653134</v>
      </c>
      <c r="X20" s="30">
        <v>-353962</v>
      </c>
      <c r="Y20" s="23">
        <v>-449649</v>
      </c>
      <c r="Z20" s="30">
        <v>-615230</v>
      </c>
      <c r="AA20" s="48">
        <v>-448557</v>
      </c>
      <c r="AB20" s="30">
        <v>-1020314</v>
      </c>
      <c r="AC20" s="23">
        <v>711854</v>
      </c>
      <c r="AD20" s="30">
        <v>287005</v>
      </c>
      <c r="AE20" s="48">
        <v>72372</v>
      </c>
      <c r="AF20" s="30">
        <v>24872.760000000009</v>
      </c>
      <c r="AG20" s="23">
        <v>175431</v>
      </c>
      <c r="AH20" s="30">
        <v>191150</v>
      </c>
      <c r="AI20" s="48">
        <v>-27870</v>
      </c>
      <c r="AJ20" s="30">
        <v>-1094442.1571999998</v>
      </c>
      <c r="AK20" s="23">
        <v>-399088</v>
      </c>
      <c r="AL20" s="30">
        <v>-176817</v>
      </c>
      <c r="AM20" s="48">
        <v>31960</v>
      </c>
      <c r="AN20" s="30">
        <v>295252</v>
      </c>
      <c r="AO20" s="23">
        <v>179682</v>
      </c>
      <c r="AP20" s="30">
        <v>975817</v>
      </c>
      <c r="AQ20" s="48">
        <v>1996735</v>
      </c>
      <c r="AR20" s="126">
        <v>-851704.6</v>
      </c>
      <c r="AS20" s="23">
        <v>90900</v>
      </c>
      <c r="AT20" s="47">
        <v>290546</v>
      </c>
      <c r="AU20" s="48">
        <v>-230188</v>
      </c>
      <c r="AV20" s="47">
        <v>-460455.91</v>
      </c>
      <c r="AW20" s="23">
        <v>-877846.52</v>
      </c>
      <c r="AX20" s="47">
        <v>-539971.46</v>
      </c>
      <c r="AY20" s="48">
        <v>-875546.06</v>
      </c>
      <c r="AZ20" s="47">
        <v>-76639.08</v>
      </c>
      <c r="BA20" s="23">
        <v>-1333685.18</v>
      </c>
      <c r="BB20" s="47">
        <v>-1051808.51</v>
      </c>
      <c r="BC20" s="243">
        <v>-528530.29</v>
      </c>
      <c r="BD20" s="249">
        <f t="shared" si="26"/>
        <v>72372</v>
      </c>
      <c r="BE20" s="23">
        <f t="shared" si="0"/>
        <v>-150558.24</v>
      </c>
      <c r="BF20" s="28">
        <f t="shared" si="27"/>
        <v>-15719</v>
      </c>
      <c r="BG20" s="23">
        <f t="shared" si="0"/>
        <v>219020</v>
      </c>
      <c r="BH20" s="249">
        <f t="shared" si="28"/>
        <v>-27870</v>
      </c>
      <c r="BI20" s="23">
        <f t="shared" si="0"/>
        <v>-695354.15719999978</v>
      </c>
      <c r="BJ20" s="28">
        <f t="shared" si="29"/>
        <v>-222271</v>
      </c>
      <c r="BK20" s="23">
        <f t="shared" si="0"/>
        <v>-208777</v>
      </c>
      <c r="BL20" s="249">
        <v>31960</v>
      </c>
      <c r="BM20" s="340">
        <f t="shared" si="30"/>
        <v>115570</v>
      </c>
      <c r="BN20" s="28">
        <f t="shared" si="31"/>
        <v>-796135</v>
      </c>
      <c r="BO20" s="23">
        <f t="shared" si="1"/>
        <v>-1020918</v>
      </c>
      <c r="BP20" s="181">
        <v>1996735</v>
      </c>
      <c r="BQ20" s="29">
        <v>-942604.6</v>
      </c>
      <c r="BR20" s="28">
        <v>-199646</v>
      </c>
      <c r="BS20" s="29">
        <v>520734</v>
      </c>
      <c r="BT20" s="158">
        <v>-230188</v>
      </c>
      <c r="BU20" s="29">
        <v>417390.61000000004</v>
      </c>
      <c r="BV20" s="28">
        <v>-337875.06000000006</v>
      </c>
      <c r="BW20" s="29">
        <v>335574.60000000009</v>
      </c>
      <c r="BX20" s="158">
        <v>-875546.06</v>
      </c>
      <c r="BY20" s="29">
        <v>1257046.0999999999</v>
      </c>
      <c r="BZ20" s="28">
        <v>-281876.66999999993</v>
      </c>
      <c r="CA20" s="29">
        <v>-523278.22</v>
      </c>
      <c r="CB20" s="28">
        <v>-528530.29</v>
      </c>
    </row>
    <row r="21" spans="1:80" ht="27.9" customHeight="1">
      <c r="A21" s="6" t="s">
        <v>7</v>
      </c>
      <c r="B21" s="33">
        <f>SUM(B18:B20)-0.01</f>
        <v>56892201.549999982</v>
      </c>
      <c r="C21" s="51">
        <f t="shared" ref="C21" si="93">SUM(C18:C20)</f>
        <v>11560850.570199698</v>
      </c>
      <c r="D21" s="33">
        <f t="shared" ref="D21" si="94">SUM(D18:D20)</f>
        <v>100521339.42436205</v>
      </c>
      <c r="E21" s="50">
        <f>SUM(E18:E20)</f>
        <v>74389408.169999987</v>
      </c>
      <c r="F21" s="33">
        <f t="shared" ref="F21" si="95">SUM(F18:F20)</f>
        <v>29837487.559999984</v>
      </c>
      <c r="G21" s="51">
        <f t="shared" ref="G21" si="96">SUM(G18:G20)</f>
        <v>14842321.640000008</v>
      </c>
      <c r="H21" s="33">
        <f t="shared" ref="H21" si="97">SUM(H18:H20)</f>
        <v>45352355.323592253</v>
      </c>
      <c r="I21" s="50">
        <f>SUM(I18:I20)</f>
        <v>7638247.1163031505</v>
      </c>
      <c r="J21" s="33">
        <f t="shared" ref="J21" si="98">SUM(J18:J20)</f>
        <v>3712362.6599999876</v>
      </c>
      <c r="K21" s="51">
        <f t="shared" ref="K21" si="99">SUM(K18:K20)</f>
        <v>2149054.0599999926</v>
      </c>
      <c r="L21" s="33">
        <f t="shared" ref="L21" si="100">SUM(L18:L20)</f>
        <v>20384680.209999993</v>
      </c>
      <c r="M21" s="50">
        <f>SUM(M18:M20)</f>
        <v>25433814.98</v>
      </c>
      <c r="N21" s="33">
        <f t="shared" ref="N21" si="101">SUM(N18:N20)</f>
        <v>23384041.049999986</v>
      </c>
      <c r="O21" s="51">
        <f t="shared" ref="O21" si="102">SUM(O18:O20)</f>
        <v>11330888.729999995</v>
      </c>
      <c r="P21" s="33">
        <f t="shared" ref="P21" si="103">SUM(P18:P20)</f>
        <v>24080295.079999991</v>
      </c>
      <c r="Q21" s="50">
        <f>SUM(Q18:Q20)</f>
        <v>21955136.510000005</v>
      </c>
      <c r="R21" s="33">
        <f t="shared" ref="R21" si="104">SUM(R18:R20)</f>
        <v>16930740.070000011</v>
      </c>
      <c r="S21" s="51">
        <f t="shared" ref="S21" si="105">SUM(S18:S20)</f>
        <v>9107824.5500000007</v>
      </c>
      <c r="T21" s="33">
        <f t="shared" ref="T21" si="106">SUM(T18:T20)</f>
        <v>31121956.88000001</v>
      </c>
      <c r="U21" s="50">
        <f t="shared" ref="U21" si="107">SUM(U18:U20)</f>
        <v>29330290.959999986</v>
      </c>
      <c r="V21" s="33">
        <f t="shared" ref="V21:X21" si="108">SUM(V18:V20)</f>
        <v>25803772.819999997</v>
      </c>
      <c r="W21" s="51">
        <f t="shared" ref="W21" si="109">SUM(W18:W20)</f>
        <v>12268623.640000008</v>
      </c>
      <c r="X21" s="33">
        <f t="shared" si="108"/>
        <v>20288892.129999999</v>
      </c>
      <c r="Y21" s="50">
        <f t="shared" ref="Y21" si="110">SUM(Y18:Y20)</f>
        <v>15771454.790000003</v>
      </c>
      <c r="Z21" s="33">
        <f t="shared" ref="Z21:AE21" si="111">SUM(Z18:Z20)</f>
        <v>15614268.04999999</v>
      </c>
      <c r="AA21" s="51">
        <f t="shared" si="111"/>
        <v>3909176.929999995</v>
      </c>
      <c r="AB21" s="33">
        <f t="shared" si="111"/>
        <v>6570746.3242369872</v>
      </c>
      <c r="AC21" s="118">
        <f t="shared" si="111"/>
        <v>1854355.0899999873</v>
      </c>
      <c r="AD21" s="33">
        <f t="shared" si="111"/>
        <v>5028163.5189241907</v>
      </c>
      <c r="AE21" s="51">
        <f t="shared" si="111"/>
        <v>6267908.4004857903</v>
      </c>
      <c r="AF21" s="33">
        <f>AF18+AF19+AF20</f>
        <v>2321426.0678756516</v>
      </c>
      <c r="AG21" s="50">
        <f>SUM(AG18:AG20)</f>
        <v>4345791.3788111163</v>
      </c>
      <c r="AH21" s="33">
        <f>AH18+AH19+AH20</f>
        <v>3598423.2155076293</v>
      </c>
      <c r="AI21" s="51">
        <f>SUM(AI18:AI20)</f>
        <v>3165160.6638467256</v>
      </c>
      <c r="AJ21" s="33">
        <f>AJ18+AJ19+AJ20</f>
        <v>11201396.607220139</v>
      </c>
      <c r="AK21" s="50">
        <f>SUM(AK18:AK20)</f>
        <v>6673989.8075583447</v>
      </c>
      <c r="AL21" s="33">
        <f>AL18+AL19+AL20</f>
        <v>9781017.4699999876</v>
      </c>
      <c r="AM21" s="51">
        <f>SUM(AM18:AM20)</f>
        <v>4117749.3999999994</v>
      </c>
      <c r="AN21" s="33">
        <f>AN18+AN19+AN20</f>
        <v>2211037.7899999944</v>
      </c>
      <c r="AO21" s="50">
        <f>SUM(AO18:AO20)</f>
        <v>2437744.749999987</v>
      </c>
      <c r="AP21" s="33">
        <f>AP18+AP19+AP20</f>
        <v>9420346</v>
      </c>
      <c r="AQ21" s="51">
        <v>2433536.21</v>
      </c>
      <c r="AR21" s="128">
        <v>10825023.01</v>
      </c>
      <c r="AS21" s="50">
        <v>12916531.529999999</v>
      </c>
      <c r="AT21" s="49">
        <v>14112460.6</v>
      </c>
      <c r="AU21" s="51">
        <v>4828559.28</v>
      </c>
      <c r="AV21" s="49">
        <v>2732481.2</v>
      </c>
      <c r="AW21" s="50">
        <v>6772364.7300000004</v>
      </c>
      <c r="AX21" s="49">
        <v>8150110.1500000004</v>
      </c>
      <c r="AY21" s="51">
        <v>3418685.37</v>
      </c>
      <c r="AZ21" s="49">
        <v>5639833.0099999998</v>
      </c>
      <c r="BA21" s="50">
        <v>3483208.13</v>
      </c>
      <c r="BB21" s="49">
        <v>4945106.42</v>
      </c>
      <c r="BC21" s="244">
        <v>2842426.27</v>
      </c>
      <c r="BD21" s="250">
        <f>SUM(BD18:BD20)</f>
        <v>6267908.4004857903</v>
      </c>
      <c r="BE21" s="118">
        <f t="shared" si="0"/>
        <v>-2024365.3109354647</v>
      </c>
      <c r="BF21" s="31">
        <f>SUM(BF18:BF20)</f>
        <v>747368.16330348444</v>
      </c>
      <c r="BG21" s="118">
        <f t="shared" si="0"/>
        <v>433262.55166090373</v>
      </c>
      <c r="BH21" s="250">
        <f>SUM(BH18:BH20)</f>
        <v>3165160.6638467256</v>
      </c>
      <c r="BI21" s="118">
        <f t="shared" si="0"/>
        <v>4527406.7996617947</v>
      </c>
      <c r="BJ21" s="31">
        <f>SUM(BJ18:BJ20)</f>
        <v>-3107027.6624416439</v>
      </c>
      <c r="BK21" s="118">
        <f t="shared" si="0"/>
        <v>5663268.0699999882</v>
      </c>
      <c r="BL21" s="250">
        <f>SUM(BL18:BL20)</f>
        <v>4117749.3999999994</v>
      </c>
      <c r="BM21" s="341">
        <f>BM18+BM19+BM20</f>
        <v>-226706.95999999321</v>
      </c>
      <c r="BN21" s="31">
        <f>SUM(BN18:BN20)</f>
        <v>-6982601.2500000149</v>
      </c>
      <c r="BO21" s="118">
        <f t="shared" si="1"/>
        <v>6986809.79</v>
      </c>
      <c r="BP21" s="182">
        <v>2433536.21</v>
      </c>
      <c r="BQ21" s="32">
        <v>-2091508.5199999996</v>
      </c>
      <c r="BR21" s="31">
        <v>-1195929.0700000003</v>
      </c>
      <c r="BS21" s="32">
        <v>9283901.3200000003</v>
      </c>
      <c r="BT21" s="159">
        <v>4828559.28</v>
      </c>
      <c r="BU21" s="32">
        <v>-4039883.5300000003</v>
      </c>
      <c r="BV21" s="31">
        <v>-1377745.42</v>
      </c>
      <c r="BW21" s="32">
        <v>4731424.78</v>
      </c>
      <c r="BX21" s="159">
        <v>3418685.37</v>
      </c>
      <c r="BY21" s="32">
        <v>2156624.88</v>
      </c>
      <c r="BZ21" s="31">
        <v>-1461898.29</v>
      </c>
      <c r="CA21" s="32">
        <v>2102680.15</v>
      </c>
      <c r="CB21" s="31">
        <v>2842426.27</v>
      </c>
    </row>
    <row r="22" spans="1:80" ht="27.9" customHeight="1">
      <c r="A22" s="6" t="s">
        <v>168</v>
      </c>
      <c r="B22" s="33">
        <f>57006747.46</f>
        <v>57006747.460000001</v>
      </c>
      <c r="C22" s="51">
        <v>11619951.77</v>
      </c>
      <c r="D22" s="33">
        <v>100795831.37953603</v>
      </c>
      <c r="E22" s="50">
        <v>74571648.859999999</v>
      </c>
      <c r="F22" s="33">
        <v>29959509.420000002</v>
      </c>
      <c r="G22" s="51">
        <v>14902557.890000001</v>
      </c>
      <c r="H22" s="33">
        <v>45607148.457675353</v>
      </c>
      <c r="I22" s="50">
        <v>7832236.8132844307</v>
      </c>
      <c r="J22" s="33">
        <v>3841625.59</v>
      </c>
      <c r="K22" s="51">
        <v>2214467.7599999998</v>
      </c>
      <c r="L22" s="33">
        <v>20608888.98</v>
      </c>
      <c r="M22" s="50">
        <v>25593634.399999999</v>
      </c>
      <c r="N22" s="33">
        <v>23480076.600000001</v>
      </c>
      <c r="O22" s="51">
        <v>11365239.01</v>
      </c>
      <c r="P22" s="33">
        <v>24237810.489999998</v>
      </c>
      <c r="Q22" s="50">
        <v>22005639.039999999</v>
      </c>
      <c r="R22" s="33">
        <v>16980127.420000002</v>
      </c>
      <c r="S22" s="51">
        <v>9103264.2699999996</v>
      </c>
      <c r="T22" s="33">
        <v>31308379.84</v>
      </c>
      <c r="U22" s="50">
        <v>29383926.670000002</v>
      </c>
      <c r="V22" s="33">
        <v>25869130.02</v>
      </c>
      <c r="W22" s="51">
        <v>12317467.529999999</v>
      </c>
      <c r="X22" s="33">
        <v>20605066.309999999</v>
      </c>
      <c r="Y22" s="50">
        <v>15785592.76</v>
      </c>
      <c r="Z22" s="33">
        <v>15585479.34</v>
      </c>
      <c r="AA22" s="51">
        <v>3873019.79</v>
      </c>
      <c r="AB22" s="33">
        <v>6229393.0430942867</v>
      </c>
      <c r="AC22" s="50">
        <v>1523656.3</v>
      </c>
      <c r="AD22" s="33">
        <v>5191774.1677241903</v>
      </c>
      <c r="AE22" s="51">
        <v>6374349.0984857902</v>
      </c>
      <c r="AF22" s="33">
        <f>AF21-AF23</f>
        <v>2915291.4158756519</v>
      </c>
      <c r="AG22" s="50">
        <v>4810068.7168111168</v>
      </c>
      <c r="AH22" s="33">
        <f>AH21-AH23</f>
        <v>3940590.1295076292</v>
      </c>
      <c r="AI22" s="51">
        <v>3286973.2438467257</v>
      </c>
      <c r="AJ22" s="33">
        <f>AJ21-AJ23</f>
        <v>12128052.429620139</v>
      </c>
      <c r="AK22" s="50">
        <v>6822943.377558345</v>
      </c>
      <c r="AL22" s="33">
        <f>AL21-AL23</f>
        <v>9913186.8599999882</v>
      </c>
      <c r="AM22" s="51">
        <v>4178153.28</v>
      </c>
      <c r="AN22" s="33">
        <v>2686164.07</v>
      </c>
      <c r="AO22" s="50">
        <v>2882251.44</v>
      </c>
      <c r="AP22" s="33">
        <f>AP21-AP23</f>
        <v>9572421.1500000004</v>
      </c>
      <c r="AQ22" s="51">
        <v>2523248.2000000002</v>
      </c>
      <c r="AR22" s="128">
        <v>11056070.35</v>
      </c>
      <c r="AS22" s="50">
        <v>13031341.41</v>
      </c>
      <c r="AT22" s="49">
        <v>14176106.550000001</v>
      </c>
      <c r="AU22" s="51">
        <v>4846202.47</v>
      </c>
      <c r="AV22" s="49">
        <v>2740681.01</v>
      </c>
      <c r="AW22" s="50"/>
      <c r="AX22" s="49"/>
      <c r="AY22" s="51"/>
      <c r="AZ22" s="49"/>
      <c r="BA22" s="50"/>
      <c r="BB22" s="49"/>
      <c r="BC22" s="244"/>
      <c r="BD22" s="250">
        <f>AE22</f>
        <v>6374349.0984857902</v>
      </c>
      <c r="BE22" s="118">
        <f t="shared" si="0"/>
        <v>-1894777.3009354649</v>
      </c>
      <c r="BF22" s="31">
        <f t="shared" si="27"/>
        <v>869478.58730348758</v>
      </c>
      <c r="BG22" s="118">
        <f t="shared" si="0"/>
        <v>653616.88566090353</v>
      </c>
      <c r="BH22" s="250">
        <f>AI22</f>
        <v>3286973.2438467257</v>
      </c>
      <c r="BI22" s="118">
        <f t="shared" si="0"/>
        <v>5305109.0520617943</v>
      </c>
      <c r="BJ22" s="31">
        <f t="shared" si="29"/>
        <v>-3090243.4824416433</v>
      </c>
      <c r="BK22" s="118">
        <f t="shared" si="0"/>
        <v>5735033.5799999889</v>
      </c>
      <c r="BL22" s="250">
        <v>4178153.28</v>
      </c>
      <c r="BM22" s="342">
        <f t="shared" si="30"/>
        <v>-196087.37000000011</v>
      </c>
      <c r="BN22" s="31">
        <f t="shared" si="31"/>
        <v>-6690169.7100000009</v>
      </c>
      <c r="BO22" s="118">
        <f t="shared" si="1"/>
        <v>7049172.9500000002</v>
      </c>
      <c r="BP22" s="182">
        <v>2523248.2000000002</v>
      </c>
      <c r="BQ22" s="32">
        <v>-1975271.0600000005</v>
      </c>
      <c r="BR22" s="31">
        <v>-1144765.1400000006</v>
      </c>
      <c r="BS22" s="32">
        <v>9329904.0800000019</v>
      </c>
      <c r="BT22" s="159">
        <v>4846202.47</v>
      </c>
      <c r="BU22" s="32">
        <v>2740681.01</v>
      </c>
      <c r="BV22" s="28"/>
      <c r="BW22" s="29"/>
      <c r="BX22" s="159"/>
      <c r="BY22" s="29"/>
      <c r="BZ22" s="28"/>
      <c r="CA22" s="29"/>
      <c r="CB22" s="31"/>
    </row>
    <row r="23" spans="1:80" ht="27.9" customHeight="1">
      <c r="A23" s="6" t="s">
        <v>169</v>
      </c>
      <c r="B23" s="33">
        <f t="shared" ref="B23" si="112">B21-B22</f>
        <v>-114545.91000001878</v>
      </c>
      <c r="C23" s="51">
        <f t="shared" ref="C23" si="113">C21-C22</f>
        <v>-59101.199800301343</v>
      </c>
      <c r="D23" s="33">
        <f t="shared" ref="D23" si="114">D21-D22</f>
        <v>-274491.95517398417</v>
      </c>
      <c r="E23" s="50">
        <v>-182240.69</v>
      </c>
      <c r="F23" s="33">
        <f t="shared" ref="F23" si="115">F21-F22</f>
        <v>-122021.86000001803</v>
      </c>
      <c r="G23" s="51">
        <f t="shared" ref="G23" si="116">G21-G22</f>
        <v>-60236.249999992549</v>
      </c>
      <c r="H23" s="33">
        <f t="shared" ref="H23" si="117">H21-H22</f>
        <v>-254793.13408309966</v>
      </c>
      <c r="I23" s="50">
        <v>-193989.69698127999</v>
      </c>
      <c r="J23" s="33">
        <f t="shared" ref="J23" si="118">J21-J22</f>
        <v>-129262.93000001227</v>
      </c>
      <c r="K23" s="51">
        <f t="shared" ref="K23" si="119">K21-K22</f>
        <v>-65413.700000007171</v>
      </c>
      <c r="L23" s="33">
        <f t="shared" ref="L23" si="120">L21-L22</f>
        <v>-224208.770000007</v>
      </c>
      <c r="M23" s="50">
        <v>-159819.42000000001</v>
      </c>
      <c r="N23" s="33">
        <f t="shared" ref="N23" si="121">N21-N22</f>
        <v>-96035.550000015646</v>
      </c>
      <c r="O23" s="51">
        <f t="shared" ref="O23" si="122">O21-O22</f>
        <v>-34350.280000004917</v>
      </c>
      <c r="P23" s="33">
        <f t="shared" ref="P23" si="123">P21-P22</f>
        <v>-157515.4100000076</v>
      </c>
      <c r="Q23" s="50">
        <v>-50502.53</v>
      </c>
      <c r="R23" s="33">
        <f t="shared" ref="R23" si="124">R21-R22</f>
        <v>-49387.349999990314</v>
      </c>
      <c r="S23" s="51">
        <f t="shared" ref="S23" si="125">S21-S22</f>
        <v>4560.2800000011921</v>
      </c>
      <c r="T23" s="33">
        <f t="shared" ref="T23" si="126">T21-T22</f>
        <v>-186422.95999998972</v>
      </c>
      <c r="U23" s="50">
        <v>-53635.71</v>
      </c>
      <c r="V23" s="33">
        <f t="shared" ref="V23:X23" si="127">V21-V22</f>
        <v>-65357.20000000298</v>
      </c>
      <c r="W23" s="51">
        <f t="shared" ref="W23" si="128">W21-W22</f>
        <v>-48843.889999991283</v>
      </c>
      <c r="X23" s="33">
        <f t="shared" si="127"/>
        <v>-316174.1799999997</v>
      </c>
      <c r="Y23" s="50">
        <f t="shared" ref="Y23" si="129">Y21-Y22</f>
        <v>-14137.969999996945</v>
      </c>
      <c r="Z23" s="33">
        <f t="shared" ref="Z23:AE23" si="130">Z21-Z22</f>
        <v>28788.709999989718</v>
      </c>
      <c r="AA23" s="51">
        <f t="shared" si="130"/>
        <v>36157.139999995008</v>
      </c>
      <c r="AB23" s="33">
        <f t="shared" si="130"/>
        <v>341353.28114270046</v>
      </c>
      <c r="AC23" s="50">
        <f t="shared" si="130"/>
        <v>330698.78999998723</v>
      </c>
      <c r="AD23" s="33">
        <f t="shared" si="130"/>
        <v>-163610.64879999962</v>
      </c>
      <c r="AE23" s="51">
        <f t="shared" si="130"/>
        <v>-106440.69799999986</v>
      </c>
      <c r="AF23" s="33">
        <v>-593865.348</v>
      </c>
      <c r="AG23" s="50">
        <f>AG21-AG22</f>
        <v>-464277.33800000045</v>
      </c>
      <c r="AH23" s="33">
        <v>-342166.91399999999</v>
      </c>
      <c r="AI23" s="51">
        <f>AI21-AI22</f>
        <v>-121812.58000000007</v>
      </c>
      <c r="AJ23" s="33">
        <v>-926655.82239999995</v>
      </c>
      <c r="AK23" s="50">
        <f>AK21-AK22</f>
        <v>-148953.5700000003</v>
      </c>
      <c r="AL23" s="33">
        <v>-132169.39000000001</v>
      </c>
      <c r="AM23" s="51">
        <f>AM21-AM22</f>
        <v>-60403.880000000354</v>
      </c>
      <c r="AN23" s="33">
        <v>-475126.28</v>
      </c>
      <c r="AO23" s="50">
        <v>-444506.69</v>
      </c>
      <c r="AP23" s="33">
        <v>-152075.15</v>
      </c>
      <c r="AQ23" s="51">
        <v>-89711.99</v>
      </c>
      <c r="AR23" s="128">
        <v>-231047.34</v>
      </c>
      <c r="AS23" s="50">
        <v>-114809.88</v>
      </c>
      <c r="AT23" s="49">
        <v>-63645.95</v>
      </c>
      <c r="AU23" s="51">
        <v>-17643.189999999999</v>
      </c>
      <c r="AV23" s="49">
        <v>-8199.81</v>
      </c>
      <c r="AW23" s="50"/>
      <c r="AX23" s="49"/>
      <c r="AY23" s="51"/>
      <c r="AZ23" s="49"/>
      <c r="BA23" s="50"/>
      <c r="BB23" s="49"/>
      <c r="BC23" s="244"/>
      <c r="BD23" s="250">
        <f>BD21-BD22</f>
        <v>-106440.69799999986</v>
      </c>
      <c r="BE23" s="118">
        <f t="shared" si="0"/>
        <v>-129588.00999999954</v>
      </c>
      <c r="BF23" s="31">
        <f t="shared" si="27"/>
        <v>-122110.42400000046</v>
      </c>
      <c r="BG23" s="118">
        <f t="shared" si="0"/>
        <v>-220354.33399999992</v>
      </c>
      <c r="BH23" s="250">
        <f>BH21-BH22</f>
        <v>-121812.58000000007</v>
      </c>
      <c r="BI23" s="118">
        <f t="shared" si="0"/>
        <v>-777702.25239999965</v>
      </c>
      <c r="BJ23" s="31">
        <f t="shared" si="29"/>
        <v>-16784.180000000284</v>
      </c>
      <c r="BK23" s="118">
        <f t="shared" si="0"/>
        <v>-71765.50999999966</v>
      </c>
      <c r="BL23" s="250">
        <f>BL21-BL22</f>
        <v>-60403.880000000354</v>
      </c>
      <c r="BM23" s="342">
        <f t="shared" si="30"/>
        <v>-30619.590000000026</v>
      </c>
      <c r="BN23" s="31">
        <f t="shared" si="31"/>
        <v>-292431.54000000004</v>
      </c>
      <c r="BO23" s="118">
        <f t="shared" si="1"/>
        <v>-62363.159999999989</v>
      </c>
      <c r="BP23" s="182">
        <v>-89711.99</v>
      </c>
      <c r="BQ23" s="32">
        <v>-116237.45999999999</v>
      </c>
      <c r="BR23" s="31">
        <v>-51163.930000000008</v>
      </c>
      <c r="BS23" s="32">
        <v>-46002.759999999995</v>
      </c>
      <c r="BT23" s="159">
        <v>-17643.189999999999</v>
      </c>
      <c r="BU23" s="32">
        <v>-8199.81</v>
      </c>
      <c r="BV23" s="28"/>
      <c r="BW23" s="29"/>
      <c r="BX23" s="159"/>
      <c r="BY23" s="29"/>
      <c r="BZ23" s="28"/>
      <c r="CA23" s="29"/>
      <c r="CB23" s="31"/>
    </row>
    <row r="24" spans="1:80" ht="27.9" customHeight="1">
      <c r="A24" s="6" t="s">
        <v>73</v>
      </c>
      <c r="B24" s="33"/>
      <c r="C24" s="48"/>
      <c r="D24" s="33"/>
      <c r="E24" s="23"/>
      <c r="F24" s="33"/>
      <c r="G24" s="48"/>
      <c r="H24" s="33"/>
      <c r="I24" s="23"/>
      <c r="J24" s="33"/>
      <c r="K24" s="48"/>
      <c r="L24" s="33"/>
      <c r="M24" s="23"/>
      <c r="N24" s="33"/>
      <c r="O24" s="48"/>
      <c r="P24" s="33"/>
      <c r="Q24" s="23"/>
      <c r="R24" s="33"/>
      <c r="S24" s="48"/>
      <c r="T24" s="33"/>
      <c r="U24" s="23"/>
      <c r="V24" s="33"/>
      <c r="W24" s="48"/>
      <c r="X24" s="33"/>
      <c r="Y24" s="23"/>
      <c r="Z24" s="33"/>
      <c r="AA24" s="48"/>
      <c r="AB24" s="33"/>
      <c r="AC24" s="50"/>
      <c r="AD24" s="33"/>
      <c r="AE24" s="48"/>
      <c r="AF24" s="33"/>
      <c r="AG24" s="23"/>
      <c r="AH24" s="33"/>
      <c r="AI24" s="48"/>
      <c r="AJ24" s="33"/>
      <c r="AK24" s="23"/>
      <c r="AL24" s="33"/>
      <c r="AM24" s="48"/>
      <c r="AN24" s="33"/>
      <c r="AO24" s="23"/>
      <c r="AP24" s="33"/>
      <c r="AQ24" s="48"/>
      <c r="AR24" s="126"/>
      <c r="AS24" s="23"/>
      <c r="AT24" s="47"/>
      <c r="AU24" s="48"/>
      <c r="AV24" s="47"/>
      <c r="AW24" s="23"/>
      <c r="AX24" s="47"/>
      <c r="AY24" s="48"/>
      <c r="AZ24" s="47"/>
      <c r="BA24" s="23"/>
      <c r="BB24" s="47"/>
      <c r="BC24" s="243"/>
      <c r="BD24" s="249"/>
      <c r="BE24" s="23"/>
      <c r="BF24" s="28"/>
      <c r="BG24" s="23"/>
      <c r="BH24" s="249"/>
      <c r="BI24" s="23"/>
      <c r="BJ24" s="28"/>
      <c r="BK24" s="23"/>
      <c r="BL24" s="249"/>
      <c r="BM24" s="340"/>
      <c r="BN24" s="28"/>
      <c r="BO24" s="23"/>
      <c r="BP24" s="181"/>
      <c r="BQ24" s="29"/>
      <c r="BR24" s="28"/>
      <c r="BS24" s="29"/>
      <c r="BT24" s="158"/>
      <c r="BU24" s="29"/>
      <c r="BV24" s="28"/>
      <c r="BW24" s="29"/>
      <c r="BX24" s="158"/>
      <c r="BY24" s="29"/>
      <c r="BZ24" s="28"/>
      <c r="CA24" s="29"/>
      <c r="CB24" s="28"/>
    </row>
    <row r="25" spans="1:80" ht="27.9" customHeight="1">
      <c r="A25" s="10" t="s">
        <v>289</v>
      </c>
      <c r="B25" s="169"/>
      <c r="C25" s="48"/>
      <c r="D25" s="169"/>
      <c r="E25" s="23"/>
      <c r="F25" s="169"/>
      <c r="G25" s="48"/>
      <c r="H25" s="169"/>
      <c r="I25" s="23"/>
      <c r="J25" s="169"/>
      <c r="K25" s="48"/>
      <c r="L25" s="169"/>
      <c r="M25" s="23"/>
      <c r="N25" s="169"/>
      <c r="O25" s="48"/>
      <c r="P25" s="169"/>
      <c r="Q25" s="23"/>
      <c r="R25" s="169"/>
      <c r="S25" s="48"/>
      <c r="T25" s="169"/>
      <c r="U25" s="23"/>
      <c r="V25" s="169"/>
      <c r="W25" s="48"/>
      <c r="X25" s="169"/>
      <c r="Y25" s="23"/>
      <c r="Z25" s="169"/>
      <c r="AA25" s="48"/>
      <c r="AB25" s="169"/>
      <c r="AC25" s="23"/>
      <c r="AD25" s="169"/>
      <c r="AE25" s="48"/>
      <c r="AF25" s="169"/>
      <c r="AG25" s="23"/>
      <c r="AH25" s="169"/>
      <c r="AI25" s="48"/>
      <c r="AJ25" s="169"/>
      <c r="AK25" s="23"/>
      <c r="AL25" s="169"/>
      <c r="AM25" s="48"/>
      <c r="AN25" s="169"/>
      <c r="AO25" s="23"/>
      <c r="AP25" s="169"/>
      <c r="AQ25" s="48"/>
      <c r="AR25" s="126"/>
      <c r="AS25" s="23"/>
      <c r="AT25" s="47"/>
      <c r="AU25" s="48"/>
      <c r="AV25" s="47"/>
      <c r="AW25" s="23"/>
      <c r="AX25" s="47"/>
      <c r="AY25" s="48"/>
      <c r="AZ25" s="47"/>
      <c r="BA25" s="23"/>
      <c r="BB25" s="47"/>
      <c r="BC25" s="243"/>
      <c r="BD25" s="249"/>
      <c r="BE25" s="23"/>
      <c r="BF25" s="28"/>
      <c r="BG25" s="23"/>
      <c r="BH25" s="249"/>
      <c r="BI25" s="23"/>
      <c r="BJ25" s="28"/>
      <c r="BK25" s="23"/>
      <c r="BL25" s="249"/>
      <c r="BM25" s="340"/>
      <c r="BN25" s="28"/>
      <c r="BO25" s="23"/>
      <c r="BP25" s="181"/>
      <c r="BQ25" s="29"/>
      <c r="BR25" s="28"/>
      <c r="BS25" s="29"/>
      <c r="BT25" s="158"/>
      <c r="BU25" s="29"/>
      <c r="BV25" s="28"/>
      <c r="BW25" s="29"/>
      <c r="BX25" s="158"/>
      <c r="BY25" s="29"/>
      <c r="BZ25" s="28"/>
      <c r="CA25" s="29"/>
      <c r="CB25" s="28"/>
    </row>
    <row r="26" spans="1:80" ht="27.9" customHeight="1">
      <c r="A26" s="16" t="s">
        <v>222</v>
      </c>
      <c r="B26" s="184"/>
      <c r="C26" s="48"/>
      <c r="D26" s="184"/>
      <c r="E26" s="23"/>
      <c r="F26" s="184"/>
      <c r="G26" s="48"/>
      <c r="H26" s="184"/>
      <c r="I26" s="23"/>
      <c r="J26" s="184"/>
      <c r="K26" s="48"/>
      <c r="L26" s="184"/>
      <c r="M26" s="23"/>
      <c r="N26" s="184"/>
      <c r="O26" s="48"/>
      <c r="P26" s="184"/>
      <c r="Q26" s="23"/>
      <c r="R26" s="184"/>
      <c r="S26" s="48"/>
      <c r="T26" s="184"/>
      <c r="U26" s="23"/>
      <c r="V26" s="184"/>
      <c r="W26" s="48"/>
      <c r="X26" s="184">
        <v>-540600</v>
      </c>
      <c r="Y26" s="23"/>
      <c r="Z26" s="184"/>
      <c r="AA26" s="48"/>
      <c r="AB26" s="184"/>
      <c r="AC26" s="23"/>
      <c r="AD26" s="184"/>
      <c r="AE26" s="48"/>
      <c r="AF26" s="184"/>
      <c r="AG26" s="23"/>
      <c r="AH26" s="184"/>
      <c r="AI26" s="48"/>
      <c r="AJ26" s="184"/>
      <c r="AK26" s="23"/>
      <c r="AL26" s="184"/>
      <c r="AM26" s="48"/>
      <c r="AN26" s="184"/>
      <c r="AO26" s="23"/>
      <c r="AP26" s="184"/>
      <c r="AQ26" s="48"/>
      <c r="AR26" s="126"/>
      <c r="AS26" s="23">
        <v>0</v>
      </c>
      <c r="AT26" s="47">
        <v>0</v>
      </c>
      <c r="AU26" s="48"/>
      <c r="AV26" s="47"/>
      <c r="AW26" s="23"/>
      <c r="AX26" s="47"/>
      <c r="AY26" s="48"/>
      <c r="AZ26" s="47">
        <v>540600</v>
      </c>
      <c r="BA26" s="23"/>
      <c r="BB26" s="47"/>
      <c r="BC26" s="243"/>
      <c r="BD26" s="249"/>
      <c r="BE26" s="23">
        <f t="shared" ref="BE26:BK36" si="131">AF26-AG26</f>
        <v>0</v>
      </c>
      <c r="BF26" s="28"/>
      <c r="BG26" s="23">
        <f t="shared" si="131"/>
        <v>0</v>
      </c>
      <c r="BH26" s="249"/>
      <c r="BI26" s="23">
        <f t="shared" si="131"/>
        <v>0</v>
      </c>
      <c r="BJ26" s="28"/>
      <c r="BK26" s="23">
        <f t="shared" si="131"/>
        <v>0</v>
      </c>
      <c r="BL26" s="249"/>
      <c r="BM26" s="340"/>
      <c r="BN26" s="28"/>
      <c r="BO26" s="23">
        <f t="shared" ref="BO26:BO36" si="132">AP26-AQ26</f>
        <v>0</v>
      </c>
      <c r="BP26" s="181"/>
      <c r="BQ26" s="29"/>
      <c r="BR26" s="28"/>
      <c r="BS26" s="29"/>
      <c r="BT26" s="158"/>
      <c r="BU26" s="29"/>
      <c r="BV26" s="28"/>
      <c r="BW26" s="29"/>
      <c r="BX26" s="158"/>
      <c r="BY26" s="29">
        <v>540600</v>
      </c>
      <c r="BZ26" s="28"/>
      <c r="CA26" s="29"/>
      <c r="CB26" s="28"/>
    </row>
    <row r="27" spans="1:80" ht="27.9" customHeight="1">
      <c r="A27" s="16" t="s">
        <v>121</v>
      </c>
      <c r="B27" s="184"/>
      <c r="C27" s="48"/>
      <c r="D27" s="184"/>
      <c r="E27" s="23"/>
      <c r="F27" s="184"/>
      <c r="G27" s="48"/>
      <c r="H27" s="184"/>
      <c r="I27" s="23"/>
      <c r="J27" s="184"/>
      <c r="K27" s="48"/>
      <c r="L27" s="184"/>
      <c r="M27" s="23"/>
      <c r="N27" s="184"/>
      <c r="O27" s="48"/>
      <c r="P27" s="184"/>
      <c r="Q27" s="23"/>
      <c r="R27" s="184"/>
      <c r="S27" s="48"/>
      <c r="T27" s="184"/>
      <c r="U27" s="23"/>
      <c r="V27" s="184"/>
      <c r="W27" s="48"/>
      <c r="X27" s="184">
        <v>102714</v>
      </c>
      <c r="Y27" s="23"/>
      <c r="Z27" s="184"/>
      <c r="AA27" s="48"/>
      <c r="AB27" s="184"/>
      <c r="AC27" s="23"/>
      <c r="AD27" s="184"/>
      <c r="AE27" s="48"/>
      <c r="AF27" s="184"/>
      <c r="AG27" s="23"/>
      <c r="AH27" s="184"/>
      <c r="AI27" s="48"/>
      <c r="AJ27" s="184"/>
      <c r="AK27" s="23"/>
      <c r="AL27" s="184"/>
      <c r="AM27" s="48"/>
      <c r="AN27" s="184"/>
      <c r="AO27" s="23"/>
      <c r="AP27" s="184"/>
      <c r="AQ27" s="48"/>
      <c r="AR27" s="126"/>
      <c r="AS27" s="23">
        <v>0</v>
      </c>
      <c r="AT27" s="47">
        <v>0</v>
      </c>
      <c r="AU27" s="48"/>
      <c r="AV27" s="47"/>
      <c r="AW27" s="23"/>
      <c r="AX27" s="47"/>
      <c r="AY27" s="48"/>
      <c r="AZ27" s="47">
        <v>-102714</v>
      </c>
      <c r="BA27" s="23"/>
      <c r="BB27" s="47"/>
      <c r="BC27" s="243"/>
      <c r="BD27" s="249"/>
      <c r="BE27" s="23">
        <f t="shared" si="131"/>
        <v>0</v>
      </c>
      <c r="BF27" s="28"/>
      <c r="BG27" s="23">
        <f t="shared" si="131"/>
        <v>0</v>
      </c>
      <c r="BH27" s="249"/>
      <c r="BI27" s="23">
        <f t="shared" si="131"/>
        <v>0</v>
      </c>
      <c r="BJ27" s="28"/>
      <c r="BK27" s="23">
        <f t="shared" si="131"/>
        <v>0</v>
      </c>
      <c r="BL27" s="249"/>
      <c r="BM27" s="340"/>
      <c r="BN27" s="28"/>
      <c r="BO27" s="23">
        <f t="shared" si="132"/>
        <v>0</v>
      </c>
      <c r="BP27" s="181"/>
      <c r="BQ27" s="29"/>
      <c r="BR27" s="28"/>
      <c r="BS27" s="29"/>
      <c r="BT27" s="158"/>
      <c r="BU27" s="29"/>
      <c r="BV27" s="28"/>
      <c r="BW27" s="29"/>
      <c r="BX27" s="158"/>
      <c r="BY27" s="29">
        <v>-102714</v>
      </c>
      <c r="BZ27" s="28"/>
      <c r="CA27" s="29"/>
      <c r="CB27" s="28"/>
    </row>
    <row r="28" spans="1:80" ht="27.9" customHeight="1">
      <c r="A28" s="10" t="s">
        <v>122</v>
      </c>
      <c r="B28" s="169"/>
      <c r="C28" s="48"/>
      <c r="D28" s="169"/>
      <c r="E28" s="23"/>
      <c r="F28" s="169"/>
      <c r="G28" s="48"/>
      <c r="H28" s="169"/>
      <c r="I28" s="23"/>
      <c r="J28" s="169"/>
      <c r="K28" s="48"/>
      <c r="L28" s="169"/>
      <c r="M28" s="23"/>
      <c r="N28" s="169"/>
      <c r="O28" s="48"/>
      <c r="P28" s="169"/>
      <c r="Q28" s="23"/>
      <c r="R28" s="169"/>
      <c r="S28" s="48"/>
      <c r="T28" s="169"/>
      <c r="U28" s="23"/>
      <c r="V28" s="169"/>
      <c r="W28" s="48"/>
      <c r="X28" s="169"/>
      <c r="Y28" s="23"/>
      <c r="Z28" s="169"/>
      <c r="AA28" s="48"/>
      <c r="AB28" s="169"/>
      <c r="AC28" s="23"/>
      <c r="AD28" s="169"/>
      <c r="AE28" s="48"/>
      <c r="AF28" s="169"/>
      <c r="AG28" s="23"/>
      <c r="AH28" s="169"/>
      <c r="AI28" s="48"/>
      <c r="AJ28" s="169"/>
      <c r="AK28" s="23"/>
      <c r="AL28" s="169"/>
      <c r="AM28" s="48"/>
      <c r="AN28" s="169"/>
      <c r="AO28" s="23"/>
      <c r="AP28" s="169"/>
      <c r="AQ28" s="48"/>
      <c r="AR28" s="126"/>
      <c r="AS28" s="23"/>
      <c r="AT28" s="47"/>
      <c r="AU28" s="48"/>
      <c r="AV28" s="47"/>
      <c r="AW28" s="23"/>
      <c r="AX28" s="47"/>
      <c r="AY28" s="48"/>
      <c r="AZ28" s="47"/>
      <c r="BA28" s="23"/>
      <c r="BB28" s="47"/>
      <c r="BC28" s="243"/>
      <c r="BD28" s="249"/>
      <c r="BE28" s="23"/>
      <c r="BF28" s="28"/>
      <c r="BG28" s="23"/>
      <c r="BH28" s="249"/>
      <c r="BI28" s="23"/>
      <c r="BJ28" s="28"/>
      <c r="BK28" s="23"/>
      <c r="BL28" s="249"/>
      <c r="BM28" s="340"/>
      <c r="BN28" s="28"/>
      <c r="BO28" s="23"/>
      <c r="BP28" s="181"/>
      <c r="BQ28" s="29"/>
      <c r="BR28" s="28"/>
      <c r="BS28" s="29"/>
      <c r="BT28" s="158"/>
      <c r="BU28" s="29"/>
      <c r="BV28" s="28"/>
      <c r="BW28" s="29"/>
      <c r="BX28" s="158"/>
      <c r="BY28" s="29"/>
      <c r="BZ28" s="28"/>
      <c r="CA28" s="29"/>
      <c r="CB28" s="28"/>
    </row>
    <row r="29" spans="1:80" ht="27.9" customHeight="1">
      <c r="A29" s="7" t="s">
        <v>153</v>
      </c>
      <c r="B29" s="30">
        <v>550060.51</v>
      </c>
      <c r="C29" s="48">
        <v>212608.60000000015</v>
      </c>
      <c r="D29" s="30">
        <v>400869.31000000006</v>
      </c>
      <c r="E29" s="23">
        <v>444272.34</v>
      </c>
      <c r="F29" s="30">
        <v>274558.3</v>
      </c>
      <c r="G29" s="48">
        <v>138006.54</v>
      </c>
      <c r="H29" s="30">
        <v>402891.93000000005</v>
      </c>
      <c r="I29" s="23">
        <v>308243.3000000001</v>
      </c>
      <c r="J29" s="30">
        <v>290317.37</v>
      </c>
      <c r="K29" s="48">
        <v>168878.99</v>
      </c>
      <c r="L29" s="30">
        <v>997423.82</v>
      </c>
      <c r="M29" s="23">
        <v>626472.32999999996</v>
      </c>
      <c r="N29" s="30">
        <v>607289.23</v>
      </c>
      <c r="O29" s="48">
        <v>87568.87</v>
      </c>
      <c r="P29" s="30">
        <v>20264.47</v>
      </c>
      <c r="Q29" s="23">
        <v>107711.79</v>
      </c>
      <c r="R29" s="30">
        <v>166509.4</v>
      </c>
      <c r="S29" s="48">
        <v>-67593.86</v>
      </c>
      <c r="T29" s="30">
        <v>13376.57</v>
      </c>
      <c r="U29" s="23">
        <v>454431.72</v>
      </c>
      <c r="V29" s="30">
        <v>513548.58</v>
      </c>
      <c r="W29" s="48">
        <v>420205.95</v>
      </c>
      <c r="X29" s="30">
        <v>-42875.98</v>
      </c>
      <c r="Y29" s="23">
        <v>-38279.269999999997</v>
      </c>
      <c r="Z29" s="30">
        <v>-6440.61</v>
      </c>
      <c r="AA29" s="48">
        <v>-106173.04</v>
      </c>
      <c r="AB29" s="30">
        <v>-351310.33999999997</v>
      </c>
      <c r="AC29" s="23">
        <v>-227856.79</v>
      </c>
      <c r="AD29" s="30">
        <v>-337111.22</v>
      </c>
      <c r="AE29" s="48">
        <v>-15935.959999999992</v>
      </c>
      <c r="AF29" s="30">
        <v>-70163.199999999953</v>
      </c>
      <c r="AG29" s="23">
        <v>-34768.080000000075</v>
      </c>
      <c r="AH29" s="30">
        <v>-46502.39</v>
      </c>
      <c r="AI29" s="48">
        <v>-71745.63</v>
      </c>
      <c r="AJ29" s="30">
        <v>424596.22</v>
      </c>
      <c r="AK29" s="23">
        <v>46224.599999999991</v>
      </c>
      <c r="AL29" s="30">
        <v>208252.33</v>
      </c>
      <c r="AM29" s="48">
        <v>-135654.26</v>
      </c>
      <c r="AN29" s="30">
        <v>323670.63</v>
      </c>
      <c r="AO29" s="23">
        <v>288246.19</v>
      </c>
      <c r="AP29" s="30">
        <v>212188.22</v>
      </c>
      <c r="AQ29" s="48">
        <v>252476.88</v>
      </c>
      <c r="AR29" s="126">
        <v>-191866.5</v>
      </c>
      <c r="AS29" s="23">
        <v>119051.16</v>
      </c>
      <c r="AT29" s="47">
        <v>4814.03</v>
      </c>
      <c r="AU29" s="48">
        <v>-1812.36</v>
      </c>
      <c r="AV29" s="47">
        <v>-8081.5</v>
      </c>
      <c r="AW29" s="23"/>
      <c r="AX29" s="47"/>
      <c r="AY29" s="48"/>
      <c r="AZ29" s="47"/>
      <c r="BA29" s="23"/>
      <c r="BB29" s="47"/>
      <c r="BC29" s="243"/>
      <c r="BD29" s="249">
        <f t="shared" ref="BD29:BD32" si="133">AE29</f>
        <v>-15935.959999999992</v>
      </c>
      <c r="BE29" s="23">
        <f t="shared" si="131"/>
        <v>-35395.119999999879</v>
      </c>
      <c r="BF29" s="28">
        <f t="shared" ref="BF29:BF32" si="134">AG29-AH29</f>
        <v>11734.309999999925</v>
      </c>
      <c r="BG29" s="23">
        <f t="shared" si="131"/>
        <v>25243.240000000005</v>
      </c>
      <c r="BH29" s="249">
        <f t="shared" ref="BH29:BH32" si="135">AI29</f>
        <v>-71745.63</v>
      </c>
      <c r="BI29" s="23">
        <f t="shared" si="131"/>
        <v>378371.62</v>
      </c>
      <c r="BJ29" s="28">
        <f t="shared" ref="BJ29:BJ32" si="136">AK29-AL29</f>
        <v>-162027.72999999998</v>
      </c>
      <c r="BK29" s="23">
        <f t="shared" si="131"/>
        <v>343906.58999999997</v>
      </c>
      <c r="BL29" s="249">
        <v>-135654.26</v>
      </c>
      <c r="BM29" s="340">
        <f t="shared" ref="BM29:BM32" si="137">AN29-AO29</f>
        <v>35424.44</v>
      </c>
      <c r="BN29" s="28">
        <f t="shared" ref="BN29:BN32" si="138">AO29-AP29</f>
        <v>76057.97</v>
      </c>
      <c r="BO29" s="23">
        <f t="shared" si="132"/>
        <v>-40288.660000000003</v>
      </c>
      <c r="BP29" s="181">
        <v>252476.88</v>
      </c>
      <c r="BQ29" s="29">
        <v>-310917.66000000003</v>
      </c>
      <c r="BR29" s="28">
        <v>114237.13</v>
      </c>
      <c r="BS29" s="29">
        <v>6626.3899999999994</v>
      </c>
      <c r="BT29" s="158">
        <v>-1812.36</v>
      </c>
      <c r="BU29" s="29">
        <v>-8081.5</v>
      </c>
      <c r="BV29" s="28"/>
      <c r="BW29" s="29"/>
      <c r="BX29" s="158"/>
      <c r="BY29" s="29"/>
      <c r="BZ29" s="28"/>
      <c r="CA29" s="29"/>
      <c r="CB29" s="28"/>
    </row>
    <row r="30" spans="1:80" ht="27.9" customHeight="1">
      <c r="A30" s="7" t="s">
        <v>123</v>
      </c>
      <c r="B30" s="30">
        <v>-21802.400000000001</v>
      </c>
      <c r="C30" s="48">
        <v>564364.17000000004</v>
      </c>
      <c r="D30" s="30">
        <v>-1344990.9200000002</v>
      </c>
      <c r="E30" s="23">
        <v>-1723669.97</v>
      </c>
      <c r="F30" s="30">
        <v>-1740743.1</v>
      </c>
      <c r="G30" s="48">
        <v>-573047.54</v>
      </c>
      <c r="H30" s="30">
        <v>1131569.47</v>
      </c>
      <c r="I30" s="23">
        <v>-323933.89</v>
      </c>
      <c r="J30" s="30">
        <v>1363820.93</v>
      </c>
      <c r="K30" s="48">
        <v>730257.53</v>
      </c>
      <c r="L30" s="30">
        <v>1335769.3899999999</v>
      </c>
      <c r="M30" s="23">
        <v>-71606.67</v>
      </c>
      <c r="N30" s="30">
        <v>-114183.93</v>
      </c>
      <c r="O30" s="48">
        <v>7177.07</v>
      </c>
      <c r="P30" s="30">
        <v>-59984.38</v>
      </c>
      <c r="Q30" s="23">
        <v>118622.93</v>
      </c>
      <c r="R30" s="30">
        <v>734448.38</v>
      </c>
      <c r="S30" s="48">
        <v>100394.74</v>
      </c>
      <c r="T30" s="30">
        <v>-883734.19</v>
      </c>
      <c r="U30" s="23">
        <v>-594174.6</v>
      </c>
      <c r="V30" s="30">
        <v>-481772.89</v>
      </c>
      <c r="W30" s="48">
        <v>-674713.45</v>
      </c>
      <c r="X30" s="30">
        <v>593.79999999999995</v>
      </c>
      <c r="Y30" s="23">
        <v>-326788.23</v>
      </c>
      <c r="Z30" s="30">
        <v>-179920.59</v>
      </c>
      <c r="AA30" s="48">
        <v>-62009.49</v>
      </c>
      <c r="AB30" s="30">
        <v>750854.26</v>
      </c>
      <c r="AC30" s="23">
        <v>583968.67000000004</v>
      </c>
      <c r="AD30" s="30">
        <v>239915.24</v>
      </c>
      <c r="AE30" s="48">
        <v>135810.75</v>
      </c>
      <c r="AF30" s="30">
        <v>-122710.58</v>
      </c>
      <c r="AG30" s="23">
        <v>962338.62999999989</v>
      </c>
      <c r="AH30" s="30">
        <v>962338.63</v>
      </c>
      <c r="AI30" s="48"/>
      <c r="AJ30" s="30">
        <v>-142340.78999999998</v>
      </c>
      <c r="AK30" s="23">
        <v>95201.76</v>
      </c>
      <c r="AL30" s="30">
        <v>95201.76</v>
      </c>
      <c r="AM30" s="48"/>
      <c r="AN30" s="30">
        <v>-138379.70000000001</v>
      </c>
      <c r="AO30" s="23">
        <v>-108126.63</v>
      </c>
      <c r="AP30" s="30">
        <v>-108126.63</v>
      </c>
      <c r="AQ30" s="48"/>
      <c r="AR30" s="126">
        <v>210670</v>
      </c>
      <c r="AS30" s="23">
        <v>-219668.95</v>
      </c>
      <c r="AT30" s="47">
        <v>-219668.95</v>
      </c>
      <c r="AU30" s="48"/>
      <c r="AV30" s="47">
        <v>-89002.36</v>
      </c>
      <c r="AW30" s="23">
        <v>-116237.17</v>
      </c>
      <c r="AX30" s="47">
        <v>-116237.32</v>
      </c>
      <c r="AY30" s="48"/>
      <c r="AZ30" s="47">
        <v>616674.94999999995</v>
      </c>
      <c r="BA30" s="23">
        <v>821525.27</v>
      </c>
      <c r="BB30" s="47">
        <v>821525.27</v>
      </c>
      <c r="BC30" s="243"/>
      <c r="BD30" s="249"/>
      <c r="BE30" s="23">
        <f t="shared" si="131"/>
        <v>-1085049.21</v>
      </c>
      <c r="BF30" s="28"/>
      <c r="BG30" s="23">
        <f t="shared" si="131"/>
        <v>962338.63</v>
      </c>
      <c r="BH30" s="249"/>
      <c r="BI30" s="23">
        <f t="shared" si="131"/>
        <v>-237542.55</v>
      </c>
      <c r="BJ30" s="28"/>
      <c r="BK30" s="23">
        <f t="shared" si="131"/>
        <v>95201.76</v>
      </c>
      <c r="BL30" s="249"/>
      <c r="BM30" s="340">
        <f t="shared" si="137"/>
        <v>-30253.070000000007</v>
      </c>
      <c r="BN30" s="28"/>
      <c r="BO30" s="23">
        <f t="shared" si="132"/>
        <v>-108126.63</v>
      </c>
      <c r="BP30" s="181"/>
      <c r="BQ30" s="29">
        <v>430338.95</v>
      </c>
      <c r="BR30" s="28">
        <v>0</v>
      </c>
      <c r="BS30" s="29">
        <v>-219668.95</v>
      </c>
      <c r="BT30" s="158"/>
      <c r="BU30" s="29">
        <v>27234.809999999998</v>
      </c>
      <c r="BV30" s="28">
        <v>0.15000000000873115</v>
      </c>
      <c r="BW30" s="29">
        <v>-116237.32</v>
      </c>
      <c r="BX30" s="158"/>
      <c r="BY30" s="29">
        <v>-204850.32000000007</v>
      </c>
      <c r="BZ30" s="28"/>
      <c r="CA30" s="29">
        <v>821525.27</v>
      </c>
      <c r="CB30" s="28"/>
    </row>
    <row r="31" spans="1:80" ht="27.9" customHeight="1">
      <c r="A31" s="7" t="s">
        <v>124</v>
      </c>
      <c r="B31" s="30">
        <v>-42135.23</v>
      </c>
      <c r="C31" s="48">
        <v>20813.190000000002</v>
      </c>
      <c r="D31" s="30">
        <f>-87596.45+252116.78</f>
        <v>164520.33000000002</v>
      </c>
      <c r="E31" s="23">
        <f>-351556.18+252116.78</f>
        <v>-99439.4</v>
      </c>
      <c r="F31" s="30">
        <f>-387083.68+252116.78</f>
        <v>-134966.9</v>
      </c>
      <c r="G31" s="48">
        <v>-200747.22</v>
      </c>
      <c r="H31" s="30">
        <v>-52936.89</v>
      </c>
      <c r="I31" s="23">
        <v>-309295.53999999998</v>
      </c>
      <c r="J31" s="30">
        <v>-146829.51</v>
      </c>
      <c r="K31" s="48">
        <v>-33648.720000000001</v>
      </c>
      <c r="L31" s="30">
        <v>-532620.57999999996</v>
      </c>
      <c r="M31" s="23">
        <v>-769144.31</v>
      </c>
      <c r="N31" s="30">
        <v>-533805.02</v>
      </c>
      <c r="O31" s="48">
        <v>-341257.65</v>
      </c>
      <c r="P31" s="30">
        <v>-391249.42</v>
      </c>
      <c r="Q31" s="23">
        <f>-241055.94</f>
        <v>-241055.94</v>
      </c>
      <c r="R31" s="30">
        <v>-119485.87</v>
      </c>
      <c r="S31" s="48">
        <v>-197429.11</v>
      </c>
      <c r="T31" s="30">
        <f>1174078.3+64849.48</f>
        <v>1238927.78</v>
      </c>
      <c r="U31" s="23">
        <f>291573.38+64849.48</f>
        <v>356422.86</v>
      </c>
      <c r="V31" s="30">
        <v>868197.14</v>
      </c>
      <c r="W31" s="48">
        <v>9313</v>
      </c>
      <c r="X31" s="30">
        <f>556329.53+2678640.18</f>
        <v>3234969.71</v>
      </c>
      <c r="Y31" s="23">
        <f>378751.53+2678640.18</f>
        <v>3057391.71</v>
      </c>
      <c r="Z31" s="30">
        <v>2623841.1800000002</v>
      </c>
      <c r="AA31" s="48">
        <v>-771860.36</v>
      </c>
      <c r="AB31" s="30">
        <v>-683605.78</v>
      </c>
      <c r="AC31" s="23">
        <v>-206672.25</v>
      </c>
      <c r="AD31" s="30">
        <v>-12365.75</v>
      </c>
      <c r="AE31" s="48">
        <v>-172487.75</v>
      </c>
      <c r="AF31" s="30">
        <f>-702833.77-556883.77</f>
        <v>-1259717.54</v>
      </c>
      <c r="AG31" s="23">
        <f>-611300.46-550020.41</f>
        <v>-1161320.8700000001</v>
      </c>
      <c r="AH31" s="30">
        <f>219686.64-543765.92</f>
        <v>-324079.28000000003</v>
      </c>
      <c r="AI31" s="48">
        <v>304788.18999999994</v>
      </c>
      <c r="AJ31" s="30">
        <v>711847.05999999994</v>
      </c>
      <c r="AK31" s="23">
        <v>250801.63</v>
      </c>
      <c r="AL31" s="30">
        <v>127737.81</v>
      </c>
      <c r="AM31" s="48">
        <v>163572.95000000001</v>
      </c>
      <c r="AN31" s="30">
        <v>-145580.10999999999</v>
      </c>
      <c r="AO31" s="23">
        <f>191034.24-307904.22</f>
        <v>-116869.97999999998</v>
      </c>
      <c r="AP31" s="30">
        <v>-600225.84</v>
      </c>
      <c r="AQ31" s="48">
        <v>-20650.59</v>
      </c>
      <c r="AR31" s="126">
        <v>776870.72</v>
      </c>
      <c r="AS31" s="23">
        <v>737338.33</v>
      </c>
      <c r="AT31" s="47">
        <v>711152.54</v>
      </c>
      <c r="AU31" s="48">
        <v>1093141.67</v>
      </c>
      <c r="AV31" s="47">
        <v>3736933.34</v>
      </c>
      <c r="AW31" s="23">
        <v>3043002.53</v>
      </c>
      <c r="AX31" s="47">
        <v>268600.96000000002</v>
      </c>
      <c r="AY31" s="48">
        <v>-437423.24</v>
      </c>
      <c r="AZ31" s="47">
        <v>1669138.02</v>
      </c>
      <c r="BA31" s="23">
        <v>1704572.53</v>
      </c>
      <c r="BB31" s="47">
        <v>1393720.13</v>
      </c>
      <c r="BC31" s="243">
        <v>1708538.35</v>
      </c>
      <c r="BD31" s="249">
        <f t="shared" si="133"/>
        <v>-172487.75</v>
      </c>
      <c r="BE31" s="23">
        <f t="shared" si="131"/>
        <v>-98396.669999999925</v>
      </c>
      <c r="BF31" s="28">
        <f t="shared" si="134"/>
        <v>-837241.59000000008</v>
      </c>
      <c r="BG31" s="23">
        <f t="shared" si="131"/>
        <v>-628867.47</v>
      </c>
      <c r="BH31" s="249">
        <f t="shared" si="135"/>
        <v>304788.18999999994</v>
      </c>
      <c r="BI31" s="23">
        <f t="shared" si="131"/>
        <v>461045.42999999993</v>
      </c>
      <c r="BJ31" s="28">
        <f t="shared" si="136"/>
        <v>123063.82</v>
      </c>
      <c r="BK31" s="23">
        <f t="shared" si="131"/>
        <v>-35835.140000000014</v>
      </c>
      <c r="BL31" s="249">
        <v>163572.95000000001</v>
      </c>
      <c r="BM31" s="340">
        <f t="shared" si="137"/>
        <v>-28710.130000000005</v>
      </c>
      <c r="BN31" s="28">
        <f t="shared" si="138"/>
        <v>483355.86</v>
      </c>
      <c r="BO31" s="23">
        <f t="shared" si="132"/>
        <v>-579575.25</v>
      </c>
      <c r="BP31" s="181">
        <v>-20650.59</v>
      </c>
      <c r="BQ31" s="29">
        <v>39532.390000000014</v>
      </c>
      <c r="BR31" s="28">
        <v>26185.789999999921</v>
      </c>
      <c r="BS31" s="29">
        <v>-381989.12999999989</v>
      </c>
      <c r="BT31" s="158">
        <v>1093141.67</v>
      </c>
      <c r="BU31" s="29">
        <v>693930.81</v>
      </c>
      <c r="BV31" s="28">
        <v>2774401.57</v>
      </c>
      <c r="BW31" s="29">
        <v>706024.2</v>
      </c>
      <c r="BX31" s="158">
        <v>-437423.24</v>
      </c>
      <c r="BY31" s="29">
        <v>-35434.510000000009</v>
      </c>
      <c r="BZ31" s="28">
        <v>310852.40000000014</v>
      </c>
      <c r="CA31" s="29">
        <v>-314818.2200000002</v>
      </c>
      <c r="CB31" s="28">
        <v>1708538.35</v>
      </c>
    </row>
    <row r="32" spans="1:80" ht="27.9" customHeight="1">
      <c r="A32" s="7" t="s">
        <v>125</v>
      </c>
      <c r="B32" s="30">
        <v>-92363.97</v>
      </c>
      <c r="C32" s="48">
        <v>-151579.76999999999</v>
      </c>
      <c r="D32" s="30">
        <v>127383.26999999999</v>
      </c>
      <c r="E32" s="23">
        <v>241238.03</v>
      </c>
      <c r="F32" s="30">
        <v>283475.56</v>
      </c>
      <c r="G32" s="48">
        <v>120798.28</v>
      </c>
      <c r="H32" s="30">
        <v>-281490.3</v>
      </c>
      <c r="I32" s="23">
        <v>61746.93</v>
      </c>
      <c r="J32" s="30">
        <v>-286389.17</v>
      </c>
      <c r="K32" s="48">
        <v>-164443.25</v>
      </c>
      <c r="L32" s="30">
        <v>-342106.94</v>
      </c>
      <c r="M32" s="23">
        <v>40713.279999999999</v>
      </c>
      <c r="N32" s="30">
        <v>7734.62</v>
      </c>
      <c r="O32" s="48">
        <v>46837.42</v>
      </c>
      <c r="P32" s="30">
        <v>81885.289999999994</v>
      </c>
      <c r="Q32" s="23">
        <v>2798.13</v>
      </c>
      <c r="R32" s="30">
        <v>-148478.85</v>
      </c>
      <c r="S32" s="48">
        <v>31278.71</v>
      </c>
      <c r="T32" s="30">
        <v>-57732.6</v>
      </c>
      <c r="U32" s="23">
        <v>-16834.169999999998</v>
      </c>
      <c r="V32" s="30">
        <v>-148811.32</v>
      </c>
      <c r="W32" s="48">
        <v>46586.12</v>
      </c>
      <c r="X32" s="30">
        <v>-902775.43</v>
      </c>
      <c r="Y32" s="23">
        <v>-768078.78</v>
      </c>
      <c r="Z32" s="30">
        <v>-354986.79</v>
      </c>
      <c r="AA32" s="48">
        <v>177533.43</v>
      </c>
      <c r="AB32" s="30">
        <v>54179.8</v>
      </c>
      <c r="AC32" s="23">
        <v>-46346.080000000002</v>
      </c>
      <c r="AD32" s="30">
        <v>14542.320000000007</v>
      </c>
      <c r="AE32" s="48">
        <v>9995.7400000000016</v>
      </c>
      <c r="AF32" s="30">
        <v>275993.28120000003</v>
      </c>
      <c r="AG32" s="23">
        <v>44414.001200000013</v>
      </c>
      <c r="AH32" s="30">
        <v>-112432.39880000001</v>
      </c>
      <c r="AI32" s="48">
        <v>-44277.678800000009</v>
      </c>
      <c r="AJ32" s="30">
        <v>-188880.51120000001</v>
      </c>
      <c r="AK32" s="23">
        <v>-74524.399999999994</v>
      </c>
      <c r="AL32" s="30">
        <v>-81927.399999999994</v>
      </c>
      <c r="AM32" s="48">
        <v>-5305</v>
      </c>
      <c r="AN32" s="30">
        <v>-7543</v>
      </c>
      <c r="AO32" s="23">
        <v>-12018</v>
      </c>
      <c r="AP32" s="30">
        <v>94271</v>
      </c>
      <c r="AQ32" s="48">
        <v>-44046</v>
      </c>
      <c r="AR32" s="126">
        <v>-151178.6</v>
      </c>
      <c r="AS32" s="23">
        <v>-120977</v>
      </c>
      <c r="AT32" s="47">
        <v>-94297</v>
      </c>
      <c r="AU32" s="48">
        <v>-207697</v>
      </c>
      <c r="AV32" s="47">
        <v>-691572.05</v>
      </c>
      <c r="AW32" s="23">
        <v>-556085.65</v>
      </c>
      <c r="AX32" s="47">
        <v>-28949.5</v>
      </c>
      <c r="AY32" s="48">
        <v>83110</v>
      </c>
      <c r="AZ32" s="47">
        <v>-434302.35</v>
      </c>
      <c r="BA32" s="23">
        <v>-479956</v>
      </c>
      <c r="BB32" s="47">
        <v>-420896</v>
      </c>
      <c r="BC32" s="243">
        <v>-324621</v>
      </c>
      <c r="BD32" s="249">
        <f t="shared" si="133"/>
        <v>9995.7400000000016</v>
      </c>
      <c r="BE32" s="23">
        <f t="shared" si="131"/>
        <v>231579.28000000003</v>
      </c>
      <c r="BF32" s="28">
        <f t="shared" si="134"/>
        <v>156846.40000000002</v>
      </c>
      <c r="BG32" s="23">
        <f t="shared" si="131"/>
        <v>-68154.720000000001</v>
      </c>
      <c r="BH32" s="249">
        <f t="shared" si="135"/>
        <v>-44277.678800000009</v>
      </c>
      <c r="BI32" s="23">
        <f t="shared" si="131"/>
        <v>-114356.11120000001</v>
      </c>
      <c r="BJ32" s="28">
        <f t="shared" si="136"/>
        <v>7403</v>
      </c>
      <c r="BK32" s="23">
        <f t="shared" si="131"/>
        <v>-76622.399999999994</v>
      </c>
      <c r="BL32" s="249">
        <v>-5305</v>
      </c>
      <c r="BM32" s="340">
        <f t="shared" si="137"/>
        <v>4475</v>
      </c>
      <c r="BN32" s="28">
        <f t="shared" si="138"/>
        <v>-106289</v>
      </c>
      <c r="BO32" s="23">
        <f t="shared" si="132"/>
        <v>138317</v>
      </c>
      <c r="BP32" s="181">
        <v>-44046</v>
      </c>
      <c r="BQ32" s="29">
        <v>-30201.600000000006</v>
      </c>
      <c r="BR32" s="28">
        <v>-26680</v>
      </c>
      <c r="BS32" s="29">
        <v>113400</v>
      </c>
      <c r="BT32" s="158">
        <v>-207697</v>
      </c>
      <c r="BU32" s="29">
        <v>-135486.40000000002</v>
      </c>
      <c r="BV32" s="28">
        <v>-527136.15</v>
      </c>
      <c r="BW32" s="29">
        <v>-112059.5</v>
      </c>
      <c r="BX32" s="158">
        <v>83110</v>
      </c>
      <c r="BY32" s="29">
        <v>45653.650000000023</v>
      </c>
      <c r="BZ32" s="28">
        <v>-59060</v>
      </c>
      <c r="CA32" s="29">
        <v>-96275</v>
      </c>
      <c r="CB32" s="28">
        <v>-324621</v>
      </c>
    </row>
    <row r="33" spans="1:80" s="177" customFormat="1" ht="27.9" customHeight="1">
      <c r="A33" s="10" t="s">
        <v>126</v>
      </c>
      <c r="B33" s="169">
        <f>SUM(B26:B32)</f>
        <v>393758.91000000003</v>
      </c>
      <c r="C33" s="186">
        <f>SUM(C29:C32)</f>
        <v>646206.19000000018</v>
      </c>
      <c r="D33" s="169">
        <f>SUM(D26:D32)</f>
        <v>-652218.01</v>
      </c>
      <c r="E33" s="188">
        <f t="shared" ref="E33" si="139">SUM(E29:E32)</f>
        <v>-1137598.9999999998</v>
      </c>
      <c r="F33" s="169">
        <f>SUM(F26:F32)</f>
        <v>-1317676.1399999999</v>
      </c>
      <c r="G33" s="186">
        <f>SUM(G29:G32)</f>
        <v>-514989.93999999994</v>
      </c>
      <c r="H33" s="169">
        <f>SUM(H26:H32)</f>
        <v>1200034.21</v>
      </c>
      <c r="I33" s="188">
        <f t="shared" ref="I33" si="140">SUM(I29:I32)</f>
        <v>-263239.1999999999</v>
      </c>
      <c r="J33" s="169">
        <f>SUM(J26:J32)</f>
        <v>1220919.6199999999</v>
      </c>
      <c r="K33" s="186">
        <f>SUM(K29:K32)</f>
        <v>701044.55</v>
      </c>
      <c r="L33" s="169">
        <f>SUM(L26:L32)</f>
        <v>1458465.69</v>
      </c>
      <c r="M33" s="188">
        <f t="shared" ref="M33" si="141">SUM(M29:M32)</f>
        <v>-173565.37000000014</v>
      </c>
      <c r="N33" s="169">
        <f>SUM(N26:N32)</f>
        <v>-32965.100000000028</v>
      </c>
      <c r="O33" s="186">
        <f>SUM(O29:O32)</f>
        <v>-199674.29000000004</v>
      </c>
      <c r="P33" s="169">
        <f>SUM(P26:P32)</f>
        <v>-349084.04</v>
      </c>
      <c r="Q33" s="188">
        <f t="shared" ref="Q33" si="142">SUM(Q29:Q32)</f>
        <v>-11923.090000000029</v>
      </c>
      <c r="R33" s="169">
        <f>SUM(R26:R32)</f>
        <v>632993.06000000006</v>
      </c>
      <c r="S33" s="186">
        <f>SUM(S29:S32)</f>
        <v>-133349.51999999999</v>
      </c>
      <c r="T33" s="169">
        <f>SUM(T26:T32)</f>
        <v>310837.56000000006</v>
      </c>
      <c r="U33" s="188">
        <f t="shared" ref="U33" si="143">SUM(U29:U32)</f>
        <v>199845.81</v>
      </c>
      <c r="V33" s="169">
        <f>SUM(V26:V32)</f>
        <v>751161.51</v>
      </c>
      <c r="W33" s="186">
        <f t="shared" ref="W33" si="144">SUM(W29:W32)</f>
        <v>-198608.37999999995</v>
      </c>
      <c r="X33" s="169">
        <f>SUM(X26:X32)</f>
        <v>1852026.0999999996</v>
      </c>
      <c r="Y33" s="188">
        <f t="shared" ref="Y33" si="145">SUM(Y29:Y32)</f>
        <v>1924245.43</v>
      </c>
      <c r="Z33" s="169">
        <f t="shared" ref="Z33:AE33" si="146">SUM(Z29:Z32)</f>
        <v>2082493.19</v>
      </c>
      <c r="AA33" s="186">
        <f t="shared" si="146"/>
        <v>-762509.46</v>
      </c>
      <c r="AB33" s="169">
        <f t="shared" si="146"/>
        <v>-229882.06</v>
      </c>
      <c r="AC33" s="118">
        <f t="shared" si="146"/>
        <v>103093.55</v>
      </c>
      <c r="AD33" s="169">
        <f t="shared" si="146"/>
        <v>-95019.409999999974</v>
      </c>
      <c r="AE33" s="186">
        <f t="shared" si="146"/>
        <v>-42617.219999999987</v>
      </c>
      <c r="AF33" s="169">
        <f>SUM(AF26:AF32)</f>
        <v>-1176598.0388</v>
      </c>
      <c r="AG33" s="188">
        <f>SUM(AG29:AG32)</f>
        <v>-189336.3188000003</v>
      </c>
      <c r="AH33" s="169">
        <f>SUM(AH26:AH32)</f>
        <v>479324.56119999994</v>
      </c>
      <c r="AI33" s="186">
        <f>SUM(AI29:AI32)</f>
        <v>188764.88119999995</v>
      </c>
      <c r="AJ33" s="169">
        <f>SUM(AJ26:AJ32)</f>
        <v>805221.97879999992</v>
      </c>
      <c r="AK33" s="188">
        <f>SUM(AK29:AK32)</f>
        <v>317703.58999999997</v>
      </c>
      <c r="AL33" s="169">
        <f>SUM(AL26:AL32)</f>
        <v>349264.5</v>
      </c>
      <c r="AM33" s="186">
        <f>SUM(AM29:AM32)</f>
        <v>22613.690000000002</v>
      </c>
      <c r="AN33" s="169">
        <f>SUM(AN26:AN32)</f>
        <v>32167.820000000007</v>
      </c>
      <c r="AO33" s="188">
        <f>SUM(AO29:AO32)</f>
        <v>51231.580000000016</v>
      </c>
      <c r="AP33" s="169">
        <f>SUM(AP26:AP32)</f>
        <v>-401893.25</v>
      </c>
      <c r="AQ33" s="186">
        <v>187780.29</v>
      </c>
      <c r="AR33" s="187">
        <v>644495.62</v>
      </c>
      <c r="AS33" s="188">
        <v>515743.54</v>
      </c>
      <c r="AT33" s="189">
        <v>402000.62</v>
      </c>
      <c r="AU33" s="186">
        <v>883632.31</v>
      </c>
      <c r="AV33" s="189">
        <v>2948277.43</v>
      </c>
      <c r="AW33" s="188">
        <v>2370679.71</v>
      </c>
      <c r="AX33" s="189">
        <v>123414.14</v>
      </c>
      <c r="AY33" s="186">
        <v>-354313.24</v>
      </c>
      <c r="AZ33" s="189">
        <v>2289396.62</v>
      </c>
      <c r="BA33" s="188">
        <v>2046141.8</v>
      </c>
      <c r="BB33" s="189">
        <v>1794349.4</v>
      </c>
      <c r="BC33" s="245">
        <v>1383917.35</v>
      </c>
      <c r="BD33" s="251">
        <f>SUM(BD29:BD32)</f>
        <v>-178427.97</v>
      </c>
      <c r="BE33" s="188">
        <f t="shared" si="131"/>
        <v>-987261.71999999974</v>
      </c>
      <c r="BF33" s="175">
        <f>SUM(BF29:BF32)</f>
        <v>-668660.88000000012</v>
      </c>
      <c r="BG33" s="188">
        <f t="shared" si="131"/>
        <v>290559.68</v>
      </c>
      <c r="BH33" s="251">
        <f>SUM(BH29:BH32)</f>
        <v>188764.88119999995</v>
      </c>
      <c r="BI33" s="188">
        <f t="shared" si="131"/>
        <v>487518.38879999996</v>
      </c>
      <c r="BJ33" s="175">
        <f>SUM(BJ29:BJ32)</f>
        <v>-31560.909999999974</v>
      </c>
      <c r="BK33" s="188">
        <f t="shared" si="131"/>
        <v>326650.81</v>
      </c>
      <c r="BL33" s="251">
        <f>SUM(BL29:BL32)</f>
        <v>22613.690000000002</v>
      </c>
      <c r="BM33" s="343">
        <f>SUM(BM25:BM32)</f>
        <v>-19063.760000000009</v>
      </c>
      <c r="BN33" s="175">
        <f>SUM(BN29:BN32)</f>
        <v>453124.82999999996</v>
      </c>
      <c r="BO33" s="188">
        <f t="shared" si="132"/>
        <v>-589673.54</v>
      </c>
      <c r="BP33" s="190">
        <v>187780.29</v>
      </c>
      <c r="BQ33" s="174">
        <v>128752.08000000002</v>
      </c>
      <c r="BR33" s="175">
        <v>113742.91999999998</v>
      </c>
      <c r="BS33" s="174">
        <v>-481631.69000000006</v>
      </c>
      <c r="BT33" s="191">
        <v>883632.31</v>
      </c>
      <c r="BU33" s="174">
        <v>577597.7200000002</v>
      </c>
      <c r="BV33" s="175">
        <v>2247265.5699999998</v>
      </c>
      <c r="BW33" s="174">
        <v>477727.38</v>
      </c>
      <c r="BX33" s="191">
        <v>-354313.24</v>
      </c>
      <c r="BY33" s="174">
        <v>243254.82000000007</v>
      </c>
      <c r="BZ33" s="175">
        <v>251792.40000000014</v>
      </c>
      <c r="CA33" s="174">
        <v>410432.04999999981</v>
      </c>
      <c r="CB33" s="175">
        <v>1383917.35</v>
      </c>
    </row>
    <row r="34" spans="1:80" ht="27.9" customHeight="1">
      <c r="A34" s="6" t="s">
        <v>74</v>
      </c>
      <c r="B34" s="169">
        <f>B21+B33</f>
        <v>57285960.459999979</v>
      </c>
      <c r="C34" s="119">
        <f t="shared" ref="C34" si="147">C21+C33</f>
        <v>12207056.760199698</v>
      </c>
      <c r="D34" s="33">
        <f>D21+D33</f>
        <v>99869121.414362043</v>
      </c>
      <c r="E34" s="118">
        <f t="shared" ref="E34" si="148">E21+E33</f>
        <v>73251809.169999987</v>
      </c>
      <c r="F34" s="169">
        <f t="shared" ref="F34" si="149">F21+F33</f>
        <v>28519811.419999983</v>
      </c>
      <c r="G34" s="119">
        <f t="shared" ref="G34" si="150">G21+G33</f>
        <v>14327331.700000009</v>
      </c>
      <c r="H34" s="33">
        <f>H21+H33</f>
        <v>46552389.533592254</v>
      </c>
      <c r="I34" s="118">
        <f t="shared" ref="I34" si="151">I21+I33</f>
        <v>7375007.9163031504</v>
      </c>
      <c r="J34" s="169">
        <f t="shared" ref="J34:K34" si="152">J21+J33</f>
        <v>4933282.2799999872</v>
      </c>
      <c r="K34" s="119">
        <f t="shared" si="152"/>
        <v>2850098.6099999929</v>
      </c>
      <c r="L34" s="33">
        <f>L21+L33</f>
        <v>21843145.899999995</v>
      </c>
      <c r="M34" s="118">
        <f t="shared" ref="M34" si="153">M21+M33</f>
        <v>25260249.609999999</v>
      </c>
      <c r="N34" s="33">
        <f>N21+N33</f>
        <v>23351075.949999984</v>
      </c>
      <c r="O34" s="119">
        <f t="shared" ref="O34" si="154">O21+O33</f>
        <v>11131214.439999994</v>
      </c>
      <c r="P34" s="33">
        <f>P21+P33</f>
        <v>23731211.039999992</v>
      </c>
      <c r="Q34" s="118">
        <f t="shared" ref="Q34" si="155">Q21+Q33</f>
        <v>21943213.420000006</v>
      </c>
      <c r="R34" s="33">
        <f>R21+R33</f>
        <v>17563733.13000001</v>
      </c>
      <c r="S34" s="119">
        <f t="shared" ref="S34" si="156">S21+S33</f>
        <v>8974475.0300000012</v>
      </c>
      <c r="T34" s="33">
        <f>T21+T33</f>
        <v>31432794.440000009</v>
      </c>
      <c r="U34" s="118">
        <f t="shared" ref="U34" si="157">U21+U33</f>
        <v>29530136.769999985</v>
      </c>
      <c r="V34" s="33">
        <f>V21+V33</f>
        <v>26554934.329999998</v>
      </c>
      <c r="W34" s="119">
        <f t="shared" ref="W34" si="158">W21+W33</f>
        <v>12070015.260000007</v>
      </c>
      <c r="X34" s="33">
        <f>X21+X33</f>
        <v>22140918.229999997</v>
      </c>
      <c r="Y34" s="118">
        <f t="shared" ref="Y34" si="159">Y21+Y33</f>
        <v>17695700.220000003</v>
      </c>
      <c r="Z34" s="33">
        <f t="shared" ref="Z34" si="160">Z21+Z33</f>
        <v>17696761.239999991</v>
      </c>
      <c r="AA34" s="119">
        <f t="shared" ref="AA34:AF34" si="161">AA21+AA33</f>
        <v>3146667.4699999951</v>
      </c>
      <c r="AB34" s="33">
        <f t="shared" si="161"/>
        <v>6340864.2642369876</v>
      </c>
      <c r="AC34" s="188">
        <f t="shared" si="161"/>
        <v>1957448.6399999873</v>
      </c>
      <c r="AD34" s="33">
        <f t="shared" si="161"/>
        <v>4933144.1089241905</v>
      </c>
      <c r="AE34" s="119">
        <f t="shared" si="161"/>
        <v>6225291.1804857906</v>
      </c>
      <c r="AF34" s="33">
        <f t="shared" si="161"/>
        <v>1144828.0290756517</v>
      </c>
      <c r="AG34" s="118">
        <f>SUM(AG21,AG33)</f>
        <v>4156455.0600111159</v>
      </c>
      <c r="AH34" s="33">
        <f>AH21+AH33</f>
        <v>4077747.7767076292</v>
      </c>
      <c r="AI34" s="119">
        <f>AI21+AI33</f>
        <v>3353925.5450467253</v>
      </c>
      <c r="AJ34" s="33">
        <f>AJ21+AJ33</f>
        <v>12006618.58602014</v>
      </c>
      <c r="AK34" s="118">
        <f>SUM(AK21,AK33)</f>
        <v>6991693.3975583445</v>
      </c>
      <c r="AL34" s="33">
        <f>AL21+AL33</f>
        <v>10130281.969999988</v>
      </c>
      <c r="AM34" s="119">
        <f>AM21+AM33</f>
        <v>4140363.0899999994</v>
      </c>
      <c r="AN34" s="33">
        <f>SUM(AN21,AN33)</f>
        <v>2243205.6099999943</v>
      </c>
      <c r="AO34" s="118">
        <f>SUM(AO21,AO33)</f>
        <v>2488976.329999987</v>
      </c>
      <c r="AP34" s="33">
        <f>AP21+AP33</f>
        <v>9018452.75</v>
      </c>
      <c r="AQ34" s="119">
        <v>2621316.5</v>
      </c>
      <c r="AR34" s="162">
        <v>11469518.630000001</v>
      </c>
      <c r="AS34" s="118">
        <v>13432275.07</v>
      </c>
      <c r="AT34" s="117">
        <v>14514461.220000001</v>
      </c>
      <c r="AU34" s="119">
        <v>5712191.5899999999</v>
      </c>
      <c r="AV34" s="117">
        <v>5680758.6299999999</v>
      </c>
      <c r="AW34" s="118">
        <v>9143044.4399999995</v>
      </c>
      <c r="AX34" s="117">
        <v>8273524.29</v>
      </c>
      <c r="AY34" s="119">
        <v>3064372.13</v>
      </c>
      <c r="AZ34" s="117">
        <v>7929229.6299999999</v>
      </c>
      <c r="BA34" s="118">
        <v>5529349.9299999997</v>
      </c>
      <c r="BB34" s="117">
        <v>6739455.8200000003</v>
      </c>
      <c r="BC34" s="246">
        <v>4226343.6100000003</v>
      </c>
      <c r="BD34" s="252">
        <f>BD21+BD33</f>
        <v>6089480.4304857906</v>
      </c>
      <c r="BE34" s="118">
        <f t="shared" si="131"/>
        <v>-3011627.0309354644</v>
      </c>
      <c r="BF34" s="31">
        <f>SUM(BF21,BF33)</f>
        <v>78707.283303484321</v>
      </c>
      <c r="BG34" s="118">
        <f t="shared" si="131"/>
        <v>723822.2316609039</v>
      </c>
      <c r="BH34" s="252">
        <f>BH21+BH33</f>
        <v>3353925.5450467253</v>
      </c>
      <c r="BI34" s="118">
        <f t="shared" si="131"/>
        <v>5014925.1884617954</v>
      </c>
      <c r="BJ34" s="31">
        <f>SUM(BJ21,BJ33)</f>
        <v>-3138588.572441644</v>
      </c>
      <c r="BK34" s="118">
        <f t="shared" si="131"/>
        <v>5989918.8799999878</v>
      </c>
      <c r="BL34" s="252">
        <f>BL21+BL33</f>
        <v>4140363.0899999994</v>
      </c>
      <c r="BM34" s="342">
        <f>BM21+BM33</f>
        <v>-245770.71999999322</v>
      </c>
      <c r="BN34" s="31">
        <f>SUM(BN21,BN33)</f>
        <v>-6529476.4200000148</v>
      </c>
      <c r="BO34" s="118">
        <f t="shared" si="132"/>
        <v>6397136.25</v>
      </c>
      <c r="BP34" s="182">
        <v>2621316.5</v>
      </c>
      <c r="BQ34" s="32">
        <v>-1962756.4399999995</v>
      </c>
      <c r="BR34" s="31">
        <v>-1082186.1500000004</v>
      </c>
      <c r="BS34" s="32">
        <v>8802269.6300000008</v>
      </c>
      <c r="BT34" s="159">
        <v>5712191.5899999999</v>
      </c>
      <c r="BU34" s="32">
        <v>-3462285.8099999996</v>
      </c>
      <c r="BV34" s="31">
        <v>869520.14999999944</v>
      </c>
      <c r="BW34" s="32">
        <v>5209152.16</v>
      </c>
      <c r="BX34" s="159">
        <v>3064372.13</v>
      </c>
      <c r="BY34" s="32">
        <v>2399879.7000000002</v>
      </c>
      <c r="BZ34" s="31">
        <v>-1210105.8900000006</v>
      </c>
      <c r="CA34" s="32">
        <v>2513112.21</v>
      </c>
      <c r="CB34" s="31">
        <v>4226343.6100000003</v>
      </c>
    </row>
    <row r="35" spans="1:80" s="192" customFormat="1" ht="27.9" customHeight="1">
      <c r="A35" s="6" t="s">
        <v>170</v>
      </c>
      <c r="B35" s="33">
        <v>57309234.5</v>
      </c>
      <c r="C35" s="119">
        <v>12243487.970561298</v>
      </c>
      <c r="D35" s="33">
        <v>99942260.439999998</v>
      </c>
      <c r="E35" s="118">
        <v>73287528.370000005</v>
      </c>
      <c r="F35" s="33">
        <v>28508991.25</v>
      </c>
      <c r="G35" s="119">
        <v>14319772.34</v>
      </c>
      <c r="H35" s="33">
        <v>46757522.497675352</v>
      </c>
      <c r="I35" s="118">
        <v>7452450.5532844299</v>
      </c>
      <c r="J35" s="33">
        <v>5015859.29</v>
      </c>
      <c r="K35" s="119">
        <v>2873460.33</v>
      </c>
      <c r="L35" s="33">
        <v>21596565.66</v>
      </c>
      <c r="M35" s="118">
        <v>24971964.68</v>
      </c>
      <c r="N35" s="33">
        <v>23112342.34</v>
      </c>
      <c r="O35" s="119">
        <v>11104312.42</v>
      </c>
      <c r="P35" s="33">
        <v>23814648.149999999</v>
      </c>
      <c r="Q35" s="118">
        <v>21899943.84</v>
      </c>
      <c r="R35" s="33">
        <v>17537228.57</v>
      </c>
      <c r="S35" s="119">
        <v>8951485.4399999995</v>
      </c>
      <c r="T35" s="33">
        <v>31623033.879999999</v>
      </c>
      <c r="U35" s="118">
        <v>29434413.379999999</v>
      </c>
      <c r="V35" s="33">
        <v>26424600.34</v>
      </c>
      <c r="W35" s="119">
        <v>11933335.93</v>
      </c>
      <c r="X35" s="33">
        <v>22467946.510000002</v>
      </c>
      <c r="Y35" s="118">
        <v>17677727.300000001</v>
      </c>
      <c r="Z35" s="33">
        <v>17676422.41</v>
      </c>
      <c r="AA35" s="119">
        <v>3137723.5</v>
      </c>
      <c r="AB35" s="33">
        <v>6068680.5300000003</v>
      </c>
      <c r="AC35" s="118">
        <v>1659812.64</v>
      </c>
      <c r="AD35" s="33">
        <v>5233628.3677241905</v>
      </c>
      <c r="AE35" s="119">
        <v>6338056.9084857907</v>
      </c>
      <c r="AF35" s="33">
        <f>AF34-AF36</f>
        <v>1766541.0170756516</v>
      </c>
      <c r="AG35" s="118">
        <v>4634531.8180111162</v>
      </c>
      <c r="AH35" s="33">
        <f>AH34-AH36</f>
        <v>4438371.4207076291</v>
      </c>
      <c r="AI35" s="119">
        <v>3504214.1350467252</v>
      </c>
      <c r="AJ35" s="33">
        <f>AJ34-AJ36</f>
        <v>12764752.278420139</v>
      </c>
      <c r="AK35" s="118">
        <v>7122300.5875583449</v>
      </c>
      <c r="AL35" s="33">
        <f>AL34-AL36</f>
        <v>10179796.039999988</v>
      </c>
      <c r="AM35" s="119">
        <v>4254608.3</v>
      </c>
      <c r="AN35" s="33">
        <v>2589866.81</v>
      </c>
      <c r="AO35" s="118">
        <v>2819078.22</v>
      </c>
      <c r="AP35" s="33">
        <f>AP34-AP36</f>
        <v>9086310.5099999998</v>
      </c>
      <c r="AQ35" s="119">
        <v>2610820.12</v>
      </c>
      <c r="AR35" s="162">
        <v>11776717.609999999</v>
      </c>
      <c r="AS35" s="118">
        <v>13499833.68</v>
      </c>
      <c r="AT35" s="117">
        <v>14576196.65</v>
      </c>
      <c r="AU35" s="119">
        <v>5730722.8399999999</v>
      </c>
      <c r="AV35" s="117">
        <v>5692166.2300000004</v>
      </c>
      <c r="AW35" s="118"/>
      <c r="AX35" s="117"/>
      <c r="AY35" s="119"/>
      <c r="AZ35" s="117"/>
      <c r="BA35" s="118"/>
      <c r="BB35" s="117"/>
      <c r="BC35" s="246"/>
      <c r="BD35" s="250">
        <f>AE35</f>
        <v>6338056.9084857907</v>
      </c>
      <c r="BE35" s="118">
        <f t="shared" si="131"/>
        <v>-2867990.8009354649</v>
      </c>
      <c r="BF35" s="31">
        <f t="shared" ref="BF35:BF36" si="162">AG35-AH35</f>
        <v>196160.39730348717</v>
      </c>
      <c r="BG35" s="118">
        <f t="shared" si="131"/>
        <v>934157.2856609039</v>
      </c>
      <c r="BH35" s="250">
        <f>AI35</f>
        <v>3504214.1350467252</v>
      </c>
      <c r="BI35" s="118">
        <f t="shared" si="131"/>
        <v>5642451.6908617942</v>
      </c>
      <c r="BJ35" s="31">
        <f t="shared" ref="BJ35:BJ36" si="163">AK35-AL35</f>
        <v>-3057495.452441643</v>
      </c>
      <c r="BK35" s="118">
        <f t="shared" si="131"/>
        <v>5925187.7399999881</v>
      </c>
      <c r="BL35" s="252">
        <v>4254608.3</v>
      </c>
      <c r="BM35" s="342">
        <f t="shared" ref="BM35:BM36" si="164">AN35-AO35</f>
        <v>-229211.41000000015</v>
      </c>
      <c r="BN35" s="31">
        <f t="shared" ref="BN35:BN36" si="165">AO35-AP35</f>
        <v>-6267232.2899999991</v>
      </c>
      <c r="BO35" s="118">
        <f t="shared" si="132"/>
        <v>6475490.3899999997</v>
      </c>
      <c r="BP35" s="182">
        <v>2610820.12</v>
      </c>
      <c r="BQ35" s="32">
        <v>-1723116.0700000003</v>
      </c>
      <c r="BR35" s="31">
        <v>-1076362.9700000007</v>
      </c>
      <c r="BS35" s="32">
        <v>8845473.8100000005</v>
      </c>
      <c r="BT35" s="159">
        <v>5730722.8399999999</v>
      </c>
      <c r="BU35" s="32">
        <v>5692166.2300000004</v>
      </c>
      <c r="BV35" s="31"/>
      <c r="BW35" s="32"/>
      <c r="BX35" s="159"/>
      <c r="BY35" s="32"/>
      <c r="BZ35" s="31"/>
      <c r="CA35" s="32"/>
      <c r="CB35" s="31"/>
    </row>
    <row r="36" spans="1:80" s="192" customFormat="1" ht="27.9" customHeight="1">
      <c r="A36" s="6" t="s">
        <v>171</v>
      </c>
      <c r="B36" s="33">
        <f t="shared" ref="B36" si="166">B34-B35</f>
        <v>-23274.040000021458</v>
      </c>
      <c r="C36" s="119">
        <f t="shared" ref="C36" si="167">C34-C35</f>
        <v>-36431.210361599922</v>
      </c>
      <c r="D36" s="33">
        <f t="shared" ref="D36" si="168">D34-D35</f>
        <v>-73139.025637954473</v>
      </c>
      <c r="E36" s="118">
        <v>-35719.199999999997</v>
      </c>
      <c r="F36" s="33">
        <f t="shared" ref="F36" si="169">F34-F35</f>
        <v>10820.169999983162</v>
      </c>
      <c r="G36" s="119">
        <f t="shared" ref="G36" si="170">G34-G35</f>
        <v>7559.3600000087172</v>
      </c>
      <c r="H36" s="33">
        <f t="shared" ref="H36" si="171">H34-H35</f>
        <v>-205132.96408309788</v>
      </c>
      <c r="I36" s="118">
        <v>-77442.636981279997</v>
      </c>
      <c r="J36" s="33">
        <f t="shared" ref="J36" si="172">J34-J35</f>
        <v>-82577.010000012815</v>
      </c>
      <c r="K36" s="119">
        <f t="shared" ref="K36" si="173">K34-K35</f>
        <v>-23361.72000000719</v>
      </c>
      <c r="L36" s="33">
        <f t="shared" ref="L36" si="174">L34-L35</f>
        <v>246580.23999999464</v>
      </c>
      <c r="M36" s="118">
        <f t="shared" ref="M36" si="175">M34-M35</f>
        <v>288284.9299999997</v>
      </c>
      <c r="N36" s="33">
        <f t="shared" ref="N36" si="176">N34-N35</f>
        <v>238733.6099999845</v>
      </c>
      <c r="O36" s="119">
        <f t="shared" ref="O36" si="177">O34-O35</f>
        <v>26902.019999993965</v>
      </c>
      <c r="P36" s="33">
        <f t="shared" ref="P36" si="178">P34-P35</f>
        <v>-83437.110000006855</v>
      </c>
      <c r="Q36" s="118">
        <f t="shared" ref="Q36" si="179">Q34-Q35</f>
        <v>43269.580000005662</v>
      </c>
      <c r="R36" s="33">
        <f t="shared" ref="R36" si="180">R34-R35</f>
        <v>26504.560000009835</v>
      </c>
      <c r="S36" s="119">
        <f t="shared" ref="S36" si="181">S34-S35</f>
        <v>22989.590000001714</v>
      </c>
      <c r="T36" s="33">
        <f t="shared" ref="T36" si="182">T34-T35</f>
        <v>-190239.43999999017</v>
      </c>
      <c r="U36" s="118">
        <f t="shared" ref="U36" si="183">U34-U35</f>
        <v>95723.389999985695</v>
      </c>
      <c r="V36" s="33">
        <f t="shared" ref="V36:AA36" si="184">V34-V35</f>
        <v>130333.98999999836</v>
      </c>
      <c r="W36" s="119">
        <f t="shared" si="184"/>
        <v>136679.33000000753</v>
      </c>
      <c r="X36" s="33">
        <f t="shared" si="184"/>
        <v>-327028.28000000492</v>
      </c>
      <c r="Y36" s="118">
        <f t="shared" si="184"/>
        <v>17972.920000001788</v>
      </c>
      <c r="Z36" s="33">
        <f t="shared" si="184"/>
        <v>20338.829999990761</v>
      </c>
      <c r="AA36" s="119">
        <f t="shared" si="184"/>
        <v>8943.9699999950826</v>
      </c>
      <c r="AB36" s="33">
        <v>272183.73</v>
      </c>
      <c r="AC36" s="118">
        <v>297636</v>
      </c>
      <c r="AD36" s="33">
        <f>AD34-AD35</f>
        <v>-300484.25879999995</v>
      </c>
      <c r="AE36" s="119">
        <f>AE34-AE35</f>
        <v>-112765.72800000012</v>
      </c>
      <c r="AF36" s="33">
        <v>-621712.9879999999</v>
      </c>
      <c r="AG36" s="118">
        <f>AG34-AG35</f>
        <v>-478076.75800000038</v>
      </c>
      <c r="AH36" s="33">
        <v>-360623.64399999997</v>
      </c>
      <c r="AI36" s="119">
        <f>AI34-AI35</f>
        <v>-150288.58999999985</v>
      </c>
      <c r="AJ36" s="33">
        <v>-758133.69239999994</v>
      </c>
      <c r="AK36" s="118">
        <f>AK34-AK35</f>
        <v>-130607.19000000041</v>
      </c>
      <c r="AL36" s="33">
        <v>-49514.07</v>
      </c>
      <c r="AM36" s="119">
        <f>AM34-AM35</f>
        <v>-114245.21000000043</v>
      </c>
      <c r="AN36" s="33">
        <v>-346661.2</v>
      </c>
      <c r="AO36" s="118">
        <v>-330101.89</v>
      </c>
      <c r="AP36" s="33">
        <v>-67857.759999999995</v>
      </c>
      <c r="AQ36" s="119">
        <v>10496.38</v>
      </c>
      <c r="AR36" s="162">
        <v>-307198.98</v>
      </c>
      <c r="AS36" s="118">
        <v>-67558.61</v>
      </c>
      <c r="AT36" s="117">
        <v>-61735.43</v>
      </c>
      <c r="AU36" s="119">
        <v>-18531.25</v>
      </c>
      <c r="AV36" s="117">
        <v>-11407.6</v>
      </c>
      <c r="AW36" s="118"/>
      <c r="AX36" s="117"/>
      <c r="AY36" s="119"/>
      <c r="AZ36" s="117"/>
      <c r="BA36" s="118"/>
      <c r="BB36" s="117"/>
      <c r="BC36" s="246"/>
      <c r="BD36" s="252">
        <f>BD34-BD35</f>
        <v>-248576.47800000012</v>
      </c>
      <c r="BE36" s="118">
        <f t="shared" si="131"/>
        <v>-143636.22999999952</v>
      </c>
      <c r="BF36" s="31">
        <f t="shared" si="162"/>
        <v>-117453.11400000041</v>
      </c>
      <c r="BG36" s="118">
        <f t="shared" si="131"/>
        <v>-210335.05400000012</v>
      </c>
      <c r="BH36" s="252">
        <f>BH34-BH35</f>
        <v>-150288.58999999985</v>
      </c>
      <c r="BI36" s="118">
        <f t="shared" si="131"/>
        <v>-627526.50239999953</v>
      </c>
      <c r="BJ36" s="31">
        <f t="shared" si="163"/>
        <v>-81093.120000000403</v>
      </c>
      <c r="BK36" s="118">
        <f t="shared" si="131"/>
        <v>64731.140000000429</v>
      </c>
      <c r="BL36" s="252">
        <f>BL34-BL35</f>
        <v>-114245.21000000043</v>
      </c>
      <c r="BM36" s="342">
        <f t="shared" si="164"/>
        <v>-16559.309999999998</v>
      </c>
      <c r="BN36" s="31">
        <f t="shared" si="165"/>
        <v>-262244.13</v>
      </c>
      <c r="BO36" s="118">
        <f t="shared" si="132"/>
        <v>-78354.14</v>
      </c>
      <c r="BP36" s="182">
        <v>10496.38</v>
      </c>
      <c r="BQ36" s="32">
        <v>-239640.37</v>
      </c>
      <c r="BR36" s="31">
        <v>-5823.18</v>
      </c>
      <c r="BS36" s="32">
        <v>-43204.18</v>
      </c>
      <c r="BT36" s="159">
        <v>-18531.25</v>
      </c>
      <c r="BU36" s="32">
        <v>-11407.6</v>
      </c>
      <c r="BV36" s="31"/>
      <c r="BW36" s="32"/>
      <c r="BX36" s="159"/>
      <c r="BY36" s="32"/>
      <c r="BZ36" s="31"/>
      <c r="CA36" s="32"/>
      <c r="CB36" s="31"/>
    </row>
    <row r="37" spans="1:80" ht="27.9" customHeight="1">
      <c r="A37" s="178"/>
      <c r="B37" s="185"/>
      <c r="C37" s="98"/>
      <c r="D37" s="185"/>
      <c r="E37" s="97"/>
      <c r="F37" s="185"/>
      <c r="G37" s="98"/>
      <c r="H37" s="185"/>
      <c r="I37" s="97"/>
      <c r="J37" s="185"/>
      <c r="K37" s="98"/>
      <c r="L37" s="185"/>
      <c r="M37" s="97"/>
      <c r="N37" s="185"/>
      <c r="O37" s="98"/>
      <c r="P37" s="185"/>
      <c r="Q37" s="97"/>
      <c r="R37" s="185"/>
      <c r="S37" s="98"/>
      <c r="T37" s="185"/>
      <c r="U37" s="97"/>
      <c r="V37" s="185"/>
      <c r="W37" s="98"/>
      <c r="X37" s="185"/>
      <c r="Y37" s="97"/>
      <c r="Z37" s="185"/>
      <c r="AA37" s="98"/>
      <c r="AB37" s="185"/>
      <c r="AC37" s="118"/>
      <c r="AD37" s="185"/>
      <c r="AE37" s="98"/>
      <c r="AF37" s="185"/>
      <c r="AG37" s="23"/>
      <c r="AH37" s="185"/>
      <c r="AI37" s="98"/>
      <c r="AJ37" s="185"/>
      <c r="AK37" s="23"/>
      <c r="AL37" s="185"/>
      <c r="AM37" s="98"/>
      <c r="AN37" s="221"/>
      <c r="AO37" s="23"/>
      <c r="AP37" s="185"/>
      <c r="AQ37" s="98"/>
      <c r="AR37" s="126"/>
      <c r="AS37" s="23"/>
      <c r="AT37" s="47"/>
      <c r="AU37" s="48"/>
      <c r="AV37" s="47"/>
      <c r="AW37" s="23"/>
      <c r="AX37" s="47"/>
      <c r="AY37" s="48"/>
      <c r="AZ37" s="47"/>
      <c r="BA37" s="23"/>
      <c r="BB37" s="47"/>
      <c r="BC37" s="243"/>
      <c r="BD37" s="253"/>
      <c r="BE37" s="23"/>
      <c r="BF37" s="28"/>
      <c r="BG37" s="23"/>
      <c r="BH37" s="253"/>
      <c r="BI37" s="23"/>
      <c r="BJ37" s="28"/>
      <c r="BK37" s="23"/>
      <c r="BL37" s="253"/>
      <c r="BM37" s="340"/>
      <c r="BN37" s="28"/>
      <c r="BO37" s="23"/>
      <c r="BP37" s="181"/>
      <c r="BQ37" s="29"/>
      <c r="BR37" s="28"/>
      <c r="BS37" s="29"/>
      <c r="BT37" s="158"/>
      <c r="BU37" s="29"/>
      <c r="BV37" s="28"/>
      <c r="BW37" s="29"/>
      <c r="BX37" s="158"/>
      <c r="BY37" s="29"/>
      <c r="BZ37" s="28"/>
      <c r="CA37" s="29"/>
      <c r="CB37" s="28"/>
    </row>
    <row r="38" spans="1:80" ht="27.9" customHeight="1">
      <c r="A38" s="7" t="s">
        <v>75</v>
      </c>
      <c r="B38" s="30">
        <v>0.38</v>
      </c>
      <c r="C38" s="524">
        <v>0.08</v>
      </c>
      <c r="D38" s="30">
        <v>0.67</v>
      </c>
      <c r="E38" s="23">
        <v>0.5</v>
      </c>
      <c r="F38" s="30">
        <v>0.2</v>
      </c>
      <c r="G38" s="524">
        <v>0.1</v>
      </c>
      <c r="H38" s="30">
        <v>0.3</v>
      </c>
      <c r="I38" s="23">
        <v>0.05</v>
      </c>
      <c r="J38" s="30">
        <v>0.02</v>
      </c>
      <c r="K38" s="98">
        <v>0.01</v>
      </c>
      <c r="L38" s="30">
        <v>0.14000000000000001</v>
      </c>
      <c r="M38" s="23">
        <v>0.17</v>
      </c>
      <c r="N38" s="30">
        <v>0.16</v>
      </c>
      <c r="O38" s="98">
        <v>0.08</v>
      </c>
      <c r="P38" s="30">
        <v>0.16</v>
      </c>
      <c r="Q38" s="23">
        <v>0.2</v>
      </c>
      <c r="R38" s="30">
        <v>0.11</v>
      </c>
      <c r="S38" s="98">
        <v>0.06</v>
      </c>
      <c r="T38" s="30">
        <v>0.21</v>
      </c>
      <c r="U38" s="23">
        <v>0.2</v>
      </c>
      <c r="V38" s="30">
        <v>0.17</v>
      </c>
      <c r="W38" s="98">
        <v>0.08</v>
      </c>
      <c r="X38" s="30">
        <v>0.19</v>
      </c>
      <c r="Y38" s="97">
        <v>0.14000000000000001</v>
      </c>
      <c r="Z38" s="30">
        <v>0.14000000000000001</v>
      </c>
      <c r="AA38" s="98">
        <v>0.04</v>
      </c>
      <c r="AB38" s="30">
        <v>0.06</v>
      </c>
      <c r="AC38" s="23">
        <v>0.01</v>
      </c>
      <c r="AD38" s="30">
        <v>0.05</v>
      </c>
      <c r="AE38" s="98">
        <v>0.06</v>
      </c>
      <c r="AF38" s="30">
        <v>0.02</v>
      </c>
      <c r="AG38" s="23">
        <v>0.04</v>
      </c>
      <c r="AH38" s="30">
        <v>0.03</v>
      </c>
      <c r="AI38" s="98">
        <v>0.03</v>
      </c>
      <c r="AJ38" s="30">
        <v>0.1</v>
      </c>
      <c r="AK38" s="23">
        <v>0.06</v>
      </c>
      <c r="AL38" s="30">
        <v>0.09</v>
      </c>
      <c r="AM38" s="98">
        <v>0.04</v>
      </c>
      <c r="AN38" s="8">
        <v>0.02</v>
      </c>
      <c r="AO38" s="23">
        <v>0.02</v>
      </c>
      <c r="AP38" s="30">
        <v>0.09</v>
      </c>
      <c r="AQ38" s="98">
        <v>0.02</v>
      </c>
      <c r="AR38" s="126">
        <v>0.1</v>
      </c>
      <c r="AS38" s="23">
        <v>0.12</v>
      </c>
      <c r="AT38" s="47">
        <v>0.13</v>
      </c>
      <c r="AU38" s="48">
        <v>0.04</v>
      </c>
      <c r="AV38" s="47">
        <v>0.03</v>
      </c>
      <c r="AW38" s="23">
        <v>0.06</v>
      </c>
      <c r="AX38" s="47">
        <v>7.0000000000000007E-2</v>
      </c>
      <c r="AY38" s="48">
        <v>0.03</v>
      </c>
      <c r="AZ38" s="47">
        <v>0.05</v>
      </c>
      <c r="BA38" s="23">
        <v>0.03</v>
      </c>
      <c r="BB38" s="47">
        <v>0.05</v>
      </c>
      <c r="BC38" s="243">
        <v>0.03</v>
      </c>
      <c r="BD38" s="253">
        <v>0.06</v>
      </c>
      <c r="BE38" s="23">
        <v>-0.02</v>
      </c>
      <c r="BF38" s="28">
        <v>0.01</v>
      </c>
      <c r="BG38" s="23">
        <v>0</v>
      </c>
      <c r="BH38" s="253">
        <v>0.03</v>
      </c>
      <c r="BI38" s="23">
        <v>0.1</v>
      </c>
      <c r="BJ38" s="28">
        <v>-0.03</v>
      </c>
      <c r="BK38" s="23">
        <v>7.0000000000000007E-2</v>
      </c>
      <c r="BL38" s="253">
        <v>0.04</v>
      </c>
      <c r="BM38" s="340">
        <v>0</v>
      </c>
      <c r="BN38" s="28">
        <v>-0.06</v>
      </c>
      <c r="BO38" s="23">
        <v>7.0000000000000007E-2</v>
      </c>
      <c r="BP38" s="181">
        <v>0.02</v>
      </c>
      <c r="BQ38" s="29">
        <v>-1.999999999999999E-2</v>
      </c>
      <c r="BR38" s="28">
        <v>-1.0000000000000009E-2</v>
      </c>
      <c r="BS38" s="29">
        <v>0.09</v>
      </c>
      <c r="BT38" s="158">
        <v>0.04</v>
      </c>
      <c r="BU38" s="29">
        <v>-0.03</v>
      </c>
      <c r="BV38" s="28">
        <v>-1.0000000000000009E-2</v>
      </c>
      <c r="BW38" s="29">
        <v>4.0000000000000008E-2</v>
      </c>
      <c r="BX38" s="158">
        <v>0.03</v>
      </c>
      <c r="BY38" s="29">
        <v>2.0000000000000004E-2</v>
      </c>
      <c r="BZ38" s="28">
        <v>-2.0000000000000004E-2</v>
      </c>
      <c r="CA38" s="29">
        <v>2.0000000000000004E-2</v>
      </c>
      <c r="CB38" s="28">
        <v>0.03</v>
      </c>
    </row>
    <row r="39" spans="1:80" ht="27.9" customHeight="1">
      <c r="A39" s="7" t="s">
        <v>76</v>
      </c>
      <c r="B39" s="30">
        <v>0.38</v>
      </c>
      <c r="C39" s="524">
        <v>0.08</v>
      </c>
      <c r="D39" s="30">
        <v>0.67</v>
      </c>
      <c r="E39" s="23">
        <v>0.5</v>
      </c>
      <c r="F39" s="30">
        <v>0.2</v>
      </c>
      <c r="G39" s="524">
        <v>0.1</v>
      </c>
      <c r="H39" s="30">
        <v>0.3</v>
      </c>
      <c r="I39" s="23">
        <v>0.05</v>
      </c>
      <c r="J39" s="30">
        <v>0.02</v>
      </c>
      <c r="K39" s="98">
        <v>0.01</v>
      </c>
      <c r="L39" s="30">
        <v>0.14000000000000001</v>
      </c>
      <c r="M39" s="23">
        <v>0.17</v>
      </c>
      <c r="N39" s="30">
        <v>0.16</v>
      </c>
      <c r="O39" s="98">
        <v>0.08</v>
      </c>
      <c r="P39" s="30">
        <v>0.16</v>
      </c>
      <c r="Q39" s="23">
        <v>0.2</v>
      </c>
      <c r="R39" s="30">
        <v>0.11</v>
      </c>
      <c r="S39" s="98">
        <v>0.06</v>
      </c>
      <c r="T39" s="30">
        <v>0.21</v>
      </c>
      <c r="U39" s="23">
        <v>0.2</v>
      </c>
      <c r="V39" s="30">
        <v>0.17</v>
      </c>
      <c r="W39" s="98">
        <v>0.08</v>
      </c>
      <c r="X39" s="30">
        <v>0.14000000000000001</v>
      </c>
      <c r="Y39" s="97">
        <v>0.11</v>
      </c>
      <c r="Z39" s="30">
        <v>0.1</v>
      </c>
      <c r="AA39" s="98">
        <v>0.03</v>
      </c>
      <c r="AB39" s="30">
        <v>0.04</v>
      </c>
      <c r="AC39" s="23">
        <v>0.01</v>
      </c>
      <c r="AD39" s="30">
        <v>0.03</v>
      </c>
      <c r="AE39" s="98">
        <v>0.04</v>
      </c>
      <c r="AF39" s="30">
        <v>0.02</v>
      </c>
      <c r="AG39" s="23">
        <v>0.03</v>
      </c>
      <c r="AH39" s="30">
        <v>0.02</v>
      </c>
      <c r="AI39" s="98">
        <v>0.02</v>
      </c>
      <c r="AJ39" s="30">
        <v>7.0000000000000007E-2</v>
      </c>
      <c r="AK39" s="23">
        <v>0.04</v>
      </c>
      <c r="AL39" s="30">
        <v>0.06</v>
      </c>
      <c r="AM39" s="98">
        <v>0.03</v>
      </c>
      <c r="AN39" s="8">
        <v>0.01</v>
      </c>
      <c r="AO39" s="23">
        <v>0.02</v>
      </c>
      <c r="AP39" s="30">
        <v>0.06</v>
      </c>
      <c r="AQ39" s="98">
        <v>0.02</v>
      </c>
      <c r="AR39" s="126">
        <v>7.0000000000000007E-2</v>
      </c>
      <c r="AS39" s="23">
        <v>0.09</v>
      </c>
      <c r="AT39" s="47">
        <v>0.09</v>
      </c>
      <c r="AU39" s="48">
        <v>0.03</v>
      </c>
      <c r="AV39" s="47">
        <v>0.02</v>
      </c>
      <c r="AW39" s="23">
        <v>0.05</v>
      </c>
      <c r="AX39" s="47">
        <v>0.05</v>
      </c>
      <c r="AY39" s="48">
        <v>0.02</v>
      </c>
      <c r="AZ39" s="47">
        <v>0.04</v>
      </c>
      <c r="BA39" s="23">
        <v>0.02</v>
      </c>
      <c r="BB39" s="47">
        <v>0.03</v>
      </c>
      <c r="BC39" s="243">
        <v>0.02</v>
      </c>
      <c r="BD39" s="253">
        <v>0.04</v>
      </c>
      <c r="BE39" s="23">
        <v>-0.01</v>
      </c>
      <c r="BF39" s="28">
        <v>0.01</v>
      </c>
      <c r="BG39" s="23">
        <v>0</v>
      </c>
      <c r="BH39" s="253">
        <v>0.02</v>
      </c>
      <c r="BI39" s="23">
        <v>7.0000000000000007E-2</v>
      </c>
      <c r="BJ39" s="28">
        <v>-0.02</v>
      </c>
      <c r="BK39" s="23">
        <v>0.04</v>
      </c>
      <c r="BL39" s="253">
        <v>0.03</v>
      </c>
      <c r="BM39" s="340">
        <v>0</v>
      </c>
      <c r="BN39" s="28">
        <v>-0.05</v>
      </c>
      <c r="BO39" s="23">
        <v>0.04</v>
      </c>
      <c r="BP39" s="181">
        <v>0.02</v>
      </c>
      <c r="BQ39" s="29">
        <v>-1.999999999999999E-2</v>
      </c>
      <c r="BR39" s="28">
        <v>0</v>
      </c>
      <c r="BS39" s="29">
        <v>0.06</v>
      </c>
      <c r="BT39" s="158">
        <v>0.03</v>
      </c>
      <c r="BU39" s="29">
        <v>-3.0000000000000002E-2</v>
      </c>
      <c r="BV39" s="28">
        <v>0</v>
      </c>
      <c r="BW39" s="29">
        <v>3.0000000000000002E-2</v>
      </c>
      <c r="BX39" s="158">
        <v>0.02</v>
      </c>
      <c r="BY39" s="29">
        <v>0.02</v>
      </c>
      <c r="BZ39" s="28">
        <v>-9.9999999999999985E-3</v>
      </c>
      <c r="CA39" s="29">
        <v>9.9999999999999985E-3</v>
      </c>
      <c r="CB39" s="28">
        <v>0.02</v>
      </c>
    </row>
  </sheetData>
  <mergeCells count="1">
    <mergeCell ref="AJ3:AP3"/>
  </mergeCells>
  <pageMargins left="0.19685039370078741" right="0" top="0.19685039370078741" bottom="0.19685039370078741" header="0" footer="0"/>
  <pageSetup paperSize="9" scale="22" orientation="landscape" horizontalDpi="4294967293" verticalDpi="4294967293" r:id="rId1"/>
  <headerFooter>
    <oddFooter>&amp;RREDWOOD PR
powered by PROFESCAPITAL</oddFooter>
  </headerFooter>
  <colBreaks count="1" manualBreakCount="1">
    <brk id="32" max="1048575" man="1"/>
  </colBreaks>
  <ignoredErrors>
    <ignoredError sqref="AI8:AO21 BH6:BH23 BJ8:BN21 BH29:BL36 BM33 BI8:BI22 AI33:AN34 AO3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B56"/>
  <sheetViews>
    <sheetView showGridLines="0" zoomScale="60" zoomScaleNormal="60" zoomScaleSheetLayoutView="30" zoomScalePageLayoutView="50" workbookViewId="0">
      <pane xSplit="1" ySplit="5" topLeftCell="B39" activePane="bottomRight" state="frozen"/>
      <selection activeCell="B29" sqref="B29"/>
      <selection pane="topRight" activeCell="B29" sqref="B29"/>
      <selection pane="bottomLeft" activeCell="B29" sqref="B29"/>
      <selection pane="bottomRight" activeCell="B29" sqref="B29"/>
    </sheetView>
  </sheetViews>
  <sheetFormatPr defaultRowHeight="18"/>
  <cols>
    <col min="1" max="1" width="119" customWidth="1"/>
    <col min="2" max="2" width="23.6640625" customWidth="1"/>
    <col min="3" max="3" width="21.6640625" customWidth="1"/>
    <col min="4" max="4" width="22.33203125" customWidth="1"/>
    <col min="5" max="5" width="21.6640625" customWidth="1"/>
    <col min="6" max="6" width="23.6640625" customWidth="1"/>
    <col min="7" max="7" width="21.6640625" customWidth="1"/>
    <col min="8" max="8" width="22.33203125" customWidth="1"/>
    <col min="9" max="16" width="21.6640625" customWidth="1"/>
    <col min="17" max="17" width="21.5546875" customWidth="1"/>
    <col min="18" max="18" width="21.5546875" style="208" customWidth="1"/>
    <col min="19" max="19" width="21.6640625" customWidth="1"/>
    <col min="20" max="20" width="21.6640625" style="9" customWidth="1"/>
    <col min="21" max="58" width="21.6640625" customWidth="1"/>
    <col min="59" max="60" width="17" bestFit="1" customWidth="1"/>
    <col min="61" max="61" width="15.6640625" bestFit="1" customWidth="1"/>
    <col min="62" max="62" width="17" bestFit="1" customWidth="1"/>
    <col min="63" max="63" width="15.6640625" bestFit="1" customWidth="1"/>
    <col min="64" max="64" width="17" bestFit="1" customWidth="1"/>
  </cols>
  <sheetData>
    <row r="1" spans="1:80" ht="50.1" customHeight="1">
      <c r="A1" s="337" t="s">
        <v>142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130"/>
      <c r="M1" s="130"/>
      <c r="N1" s="130"/>
      <c r="O1" s="130"/>
      <c r="P1" s="130"/>
      <c r="Q1" s="130"/>
      <c r="R1" s="167"/>
      <c r="S1" s="130"/>
      <c r="T1" s="167"/>
      <c r="U1" s="130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80" ht="22.5" customHeight="1"/>
    <row r="3" spans="1:80" ht="28.5" customHeight="1">
      <c r="A3" s="345" t="s">
        <v>143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AK3" s="344" t="s">
        <v>139</v>
      </c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</row>
    <row r="4" spans="1:80">
      <c r="U4" s="193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54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80" ht="27.9" customHeight="1">
      <c r="A5" s="20"/>
      <c r="B5" s="24" t="s">
        <v>287</v>
      </c>
      <c r="C5" s="194" t="s">
        <v>285</v>
      </c>
      <c r="D5" s="24" t="s">
        <v>283</v>
      </c>
      <c r="E5" s="489" t="s">
        <v>278</v>
      </c>
      <c r="F5" s="24" t="s">
        <v>276</v>
      </c>
      <c r="G5" s="194" t="s">
        <v>274</v>
      </c>
      <c r="H5" s="24" t="s">
        <v>273</v>
      </c>
      <c r="I5" s="489" t="s">
        <v>268</v>
      </c>
      <c r="J5" s="24" t="s">
        <v>266</v>
      </c>
      <c r="K5" s="194" t="s">
        <v>264</v>
      </c>
      <c r="L5" s="24" t="s">
        <v>256</v>
      </c>
      <c r="M5" s="489" t="s">
        <v>252</v>
      </c>
      <c r="N5" s="24" t="s">
        <v>249</v>
      </c>
      <c r="O5" s="194" t="s">
        <v>247</v>
      </c>
      <c r="P5" s="24" t="s">
        <v>245</v>
      </c>
      <c r="Q5" s="489" t="s">
        <v>241</v>
      </c>
      <c r="R5" s="24" t="s">
        <v>239</v>
      </c>
      <c r="S5" s="194" t="s">
        <v>237</v>
      </c>
      <c r="T5" s="24" t="s">
        <v>235</v>
      </c>
      <c r="U5" s="489" t="s">
        <v>230</v>
      </c>
      <c r="V5" s="24" t="s">
        <v>227</v>
      </c>
      <c r="W5" s="194" t="s">
        <v>225</v>
      </c>
      <c r="X5" s="24" t="s">
        <v>220</v>
      </c>
      <c r="Y5" s="489" t="s">
        <v>216</v>
      </c>
      <c r="Z5" s="24" t="s">
        <v>214</v>
      </c>
      <c r="AA5" s="194" t="s">
        <v>212</v>
      </c>
      <c r="AB5" s="24" t="s">
        <v>208</v>
      </c>
      <c r="AC5" s="62" t="s">
        <v>206</v>
      </c>
      <c r="AD5" s="24" t="s">
        <v>203</v>
      </c>
      <c r="AE5" s="194" t="s">
        <v>202</v>
      </c>
      <c r="AF5" s="24" t="s">
        <v>201</v>
      </c>
      <c r="AG5" s="62" t="s">
        <v>198</v>
      </c>
      <c r="AH5" s="24" t="s">
        <v>192</v>
      </c>
      <c r="AI5" s="194" t="s">
        <v>190</v>
      </c>
      <c r="AJ5" s="24" t="s">
        <v>196</v>
      </c>
      <c r="AK5" s="62" t="s">
        <v>187</v>
      </c>
      <c r="AL5" s="24" t="s">
        <v>185</v>
      </c>
      <c r="AM5" s="194" t="s">
        <v>183</v>
      </c>
      <c r="AN5" s="24" t="s">
        <v>181</v>
      </c>
      <c r="AO5" s="62" t="s">
        <v>179</v>
      </c>
      <c r="AP5" s="24" t="s">
        <v>175</v>
      </c>
      <c r="AQ5" s="194" t="s">
        <v>155</v>
      </c>
      <c r="AR5" s="61" t="s">
        <v>114</v>
      </c>
      <c r="AS5" s="62" t="s">
        <v>14</v>
      </c>
      <c r="AT5" s="63" t="s">
        <v>15</v>
      </c>
      <c r="AU5" s="64" t="s">
        <v>16</v>
      </c>
      <c r="AV5" s="63" t="s">
        <v>17</v>
      </c>
      <c r="AW5" s="62" t="s">
        <v>18</v>
      </c>
      <c r="AX5" s="63" t="s">
        <v>19</v>
      </c>
      <c r="AY5" s="64" t="s">
        <v>20</v>
      </c>
      <c r="AZ5" s="63" t="s">
        <v>21</v>
      </c>
      <c r="BA5" s="62" t="s">
        <v>22</v>
      </c>
      <c r="BB5" s="63" t="s">
        <v>23</v>
      </c>
      <c r="BC5" s="255" t="s">
        <v>24</v>
      </c>
      <c r="BD5" s="259" t="s">
        <v>202</v>
      </c>
      <c r="BE5" s="62" t="s">
        <v>200</v>
      </c>
      <c r="BF5" s="61" t="s">
        <v>199</v>
      </c>
      <c r="BG5" s="62" t="s">
        <v>193</v>
      </c>
      <c r="BH5" s="259" t="s">
        <v>190</v>
      </c>
      <c r="BI5" s="62" t="s">
        <v>189</v>
      </c>
      <c r="BJ5" s="61" t="s">
        <v>188</v>
      </c>
      <c r="BK5" s="62" t="s">
        <v>186</v>
      </c>
      <c r="BL5" s="259" t="s">
        <v>183</v>
      </c>
      <c r="BM5" s="224" t="s">
        <v>182</v>
      </c>
      <c r="BN5" s="61" t="s">
        <v>180</v>
      </c>
      <c r="BO5" s="62" t="s">
        <v>177</v>
      </c>
      <c r="BP5" s="150" t="s">
        <v>155</v>
      </c>
      <c r="BQ5" s="62" t="s">
        <v>116</v>
      </c>
      <c r="BR5" s="61" t="s">
        <v>25</v>
      </c>
      <c r="BS5" s="62" t="s">
        <v>26</v>
      </c>
      <c r="BT5" s="150" t="s">
        <v>16</v>
      </c>
      <c r="BU5" s="62" t="s">
        <v>27</v>
      </c>
      <c r="BV5" s="61" t="s">
        <v>28</v>
      </c>
      <c r="BW5" s="62" t="s">
        <v>29</v>
      </c>
      <c r="BX5" s="151" t="s">
        <v>20</v>
      </c>
      <c r="BY5" s="62" t="s">
        <v>30</v>
      </c>
      <c r="BZ5" s="61" t="s">
        <v>31</v>
      </c>
      <c r="CA5" s="62" t="s">
        <v>32</v>
      </c>
      <c r="CB5" s="61" t="s">
        <v>24</v>
      </c>
    </row>
    <row r="6" spans="1:80" ht="27.9" customHeight="1">
      <c r="A6" s="346" t="s">
        <v>82</v>
      </c>
      <c r="B6" s="346"/>
      <c r="C6" s="348"/>
      <c r="D6" s="346"/>
      <c r="E6" s="490"/>
      <c r="F6" s="346"/>
      <c r="G6" s="348"/>
      <c r="H6" s="346"/>
      <c r="I6" s="490"/>
      <c r="J6" s="346"/>
      <c r="K6" s="348"/>
      <c r="L6" s="346"/>
      <c r="M6" s="490"/>
      <c r="N6" s="346"/>
      <c r="O6" s="348"/>
      <c r="P6" s="346"/>
      <c r="Q6" s="490"/>
      <c r="R6" s="346"/>
      <c r="S6" s="348"/>
      <c r="T6" s="346"/>
      <c r="U6" s="490"/>
      <c r="V6" s="346"/>
      <c r="W6" s="348"/>
      <c r="X6" s="346"/>
      <c r="Y6" s="490"/>
      <c r="Z6" s="346"/>
      <c r="AA6" s="348"/>
      <c r="AB6" s="474"/>
      <c r="AC6" s="349"/>
      <c r="AD6" s="346"/>
      <c r="AE6" s="348"/>
      <c r="AF6" s="346"/>
      <c r="AG6" s="349"/>
      <c r="AH6" s="347"/>
      <c r="AI6" s="348"/>
      <c r="AJ6" s="346"/>
      <c r="AK6" s="349"/>
      <c r="AL6" s="347"/>
      <c r="AM6" s="348"/>
      <c r="AN6" s="350"/>
      <c r="AO6" s="349"/>
      <c r="AP6" s="347"/>
      <c r="AQ6" s="348"/>
      <c r="AR6" s="351"/>
      <c r="AS6" s="349"/>
      <c r="AT6" s="351"/>
      <c r="AU6" s="352"/>
      <c r="AV6" s="351"/>
      <c r="AW6" s="349"/>
      <c r="AX6" s="351"/>
      <c r="AY6" s="352"/>
      <c r="AZ6" s="351"/>
      <c r="BA6" s="349"/>
      <c r="BB6" s="351"/>
      <c r="BC6" s="353"/>
      <c r="BD6" s="354"/>
      <c r="BE6" s="349"/>
      <c r="BF6" s="351"/>
      <c r="BG6" s="349"/>
      <c r="BH6" s="354"/>
      <c r="BI6" s="349"/>
      <c r="BJ6" s="351"/>
      <c r="BK6" s="349"/>
      <c r="BL6" s="354"/>
      <c r="BM6" s="355"/>
      <c r="BN6" s="351"/>
      <c r="BO6" s="349"/>
      <c r="BP6" s="356"/>
      <c r="BQ6" s="349"/>
      <c r="BR6" s="351"/>
      <c r="BS6" s="349"/>
      <c r="BT6" s="356"/>
      <c r="BU6" s="349"/>
      <c r="BV6" s="351"/>
      <c r="BW6" s="349"/>
      <c r="BX6" s="357"/>
      <c r="BY6" s="349"/>
      <c r="BZ6" s="351"/>
      <c r="CA6" s="349"/>
      <c r="CB6" s="351"/>
    </row>
    <row r="7" spans="1:80" ht="27.9" customHeight="1">
      <c r="A7" s="21" t="s">
        <v>83</v>
      </c>
      <c r="B7" s="31">
        <v>72488741.709999993</v>
      </c>
      <c r="C7" s="195">
        <v>14450480.006030817</v>
      </c>
      <c r="D7" s="31">
        <v>121088665.15654224</v>
      </c>
      <c r="E7" s="491">
        <v>92142294.219999999</v>
      </c>
      <c r="F7" s="31">
        <v>36861426.359999999</v>
      </c>
      <c r="G7" s="195">
        <v>18181992.82</v>
      </c>
      <c r="H7" s="31">
        <v>53697842.28359215</v>
      </c>
      <c r="I7" s="491">
        <v>8925471.0763030928</v>
      </c>
      <c r="J7" s="31">
        <f>3243681.61+0.01</f>
        <v>3243681.6199999996</v>
      </c>
      <c r="K7" s="195">
        <v>2590891.06</v>
      </c>
      <c r="L7" s="31">
        <v>24893652.07</v>
      </c>
      <c r="M7" s="491">
        <v>30795948.940000001</v>
      </c>
      <c r="N7" s="31">
        <v>28266625.010000002</v>
      </c>
      <c r="O7" s="195">
        <v>13836904.630000001</v>
      </c>
      <c r="P7" s="31">
        <v>29430288.18</v>
      </c>
      <c r="Q7" s="491">
        <v>26456063.280000001</v>
      </c>
      <c r="R7" s="31">
        <f>20470591.18-0.01</f>
        <v>20470591.169999998</v>
      </c>
      <c r="S7" s="195">
        <v>11264734.550000001</v>
      </c>
      <c r="T7" s="31">
        <v>38486997.880000003</v>
      </c>
      <c r="U7" s="491">
        <v>36254114.960000001</v>
      </c>
      <c r="V7" s="31">
        <v>31830857.82</v>
      </c>
      <c r="W7" s="195">
        <v>15070126.640000001</v>
      </c>
      <c r="X7" s="31">
        <v>25506502.129999999</v>
      </c>
      <c r="Y7" s="491">
        <v>19330620.789999999</v>
      </c>
      <c r="Z7" s="31">
        <v>19192324.050000001</v>
      </c>
      <c r="AA7" s="195">
        <v>5137024.93</v>
      </c>
      <c r="AB7" s="33">
        <v>8598141.3200000003</v>
      </c>
      <c r="AC7" s="60">
        <f>2810026.08+0.01</f>
        <v>2810026.09</v>
      </c>
      <c r="AD7" s="31">
        <v>6884631.5189241692</v>
      </c>
      <c r="AE7" s="195">
        <v>7826641.4004857857</v>
      </c>
      <c r="AF7" s="31">
        <v>4371954.307875663</v>
      </c>
      <c r="AG7" s="60">
        <v>6166634.3788111517</v>
      </c>
      <c r="AH7" s="31">
        <v>4882295.22</v>
      </c>
      <c r="AI7" s="195">
        <v>4082281.6638467088</v>
      </c>
      <c r="AJ7" s="31">
        <v>15218818.764420107</v>
      </c>
      <c r="AK7" s="60">
        <f>'RZIS '!AK18</f>
        <v>8838099.8075583447</v>
      </c>
      <c r="AL7" s="31">
        <f>'RZIS '!AL18</f>
        <v>12390064.469999988</v>
      </c>
      <c r="AM7" s="195">
        <f>'RZIS '!AM18</f>
        <v>5079232.3999999994</v>
      </c>
      <c r="AN7" s="31">
        <f>'RZIS '!AN18</f>
        <v>3804241.7899999944</v>
      </c>
      <c r="AO7" s="60">
        <v>5669108.75</v>
      </c>
      <c r="AP7" s="31">
        <v>13837954</v>
      </c>
      <c r="AQ7" s="195">
        <v>2985020.21</v>
      </c>
      <c r="AR7" s="59">
        <v>13536853.609999999</v>
      </c>
      <c r="AS7" s="60">
        <v>16265979.529999999</v>
      </c>
      <c r="AT7" s="59">
        <v>17723515.600000001</v>
      </c>
      <c r="AU7" s="65">
        <v>6560341.2800000003</v>
      </c>
      <c r="AV7" s="59">
        <v>5627120.1100000003</v>
      </c>
      <c r="AW7" s="60">
        <v>10590304.25</v>
      </c>
      <c r="AX7" s="59">
        <v>11784139.609999999</v>
      </c>
      <c r="AY7" s="65">
        <v>5046721.43</v>
      </c>
      <c r="AZ7" s="59">
        <v>6009270.0899999999</v>
      </c>
      <c r="BA7" s="60">
        <v>5695036.3099999996</v>
      </c>
      <c r="BB7" s="59">
        <v>7450125.9299999997</v>
      </c>
      <c r="BC7" s="256">
        <v>4196060.5599999996</v>
      </c>
      <c r="BD7" s="260">
        <f>AE7</f>
        <v>7826641.4004857857</v>
      </c>
      <c r="BE7" s="60">
        <f>AF7-AG7</f>
        <v>-1794680.0709354887</v>
      </c>
      <c r="BF7" s="59">
        <f>AG7-AH7</f>
        <v>1284339.158811152</v>
      </c>
      <c r="BG7" s="60">
        <f>AH7-AI7</f>
        <v>800013.55615329091</v>
      </c>
      <c r="BH7" s="260">
        <f>AI7</f>
        <v>4082281.6638467088</v>
      </c>
      <c r="BI7" s="60">
        <f>AJ7-AK7</f>
        <v>6380718.9568617623</v>
      </c>
      <c r="BJ7" s="59">
        <f>AK7-AL7</f>
        <v>-3551964.662441643</v>
      </c>
      <c r="BK7" s="60">
        <f>AL7-AM7</f>
        <v>7310832.0699999882</v>
      </c>
      <c r="BL7" s="260">
        <f>'RZIS '!BL18</f>
        <v>5079232.3999999994</v>
      </c>
      <c r="BM7" s="225">
        <f>AN7-AO7</f>
        <v>-1864866.9600000056</v>
      </c>
      <c r="BN7" s="59">
        <f>AO7-AP7</f>
        <v>-8168845.25</v>
      </c>
      <c r="BO7" s="60">
        <f>AP7-AQ7</f>
        <v>10852933.789999999</v>
      </c>
      <c r="BP7" s="152">
        <v>2985020.21</v>
      </c>
      <c r="BQ7" s="32">
        <v>-2729125.92</v>
      </c>
      <c r="BR7" s="59">
        <v>-1457536.0700000022</v>
      </c>
      <c r="BS7" s="60">
        <v>11163174.32</v>
      </c>
      <c r="BT7" s="152">
        <v>6560341.2800000003</v>
      </c>
      <c r="BU7" s="60">
        <v>-4963184.1399999997</v>
      </c>
      <c r="BV7" s="59">
        <v>-1193835.3599999994</v>
      </c>
      <c r="BW7" s="60">
        <v>6737418.1799999997</v>
      </c>
      <c r="BX7" s="153">
        <v>5046721.43</v>
      </c>
      <c r="BY7" s="60">
        <v>314233.78000000026</v>
      </c>
      <c r="BZ7" s="59">
        <v>-1755089.62</v>
      </c>
      <c r="CA7" s="60">
        <v>3254065.37</v>
      </c>
      <c r="CB7" s="59">
        <v>4196060.5599999996</v>
      </c>
    </row>
    <row r="8" spans="1:80" ht="27.9" customHeight="1">
      <c r="A8" s="21" t="s">
        <v>84</v>
      </c>
      <c r="B8" s="31">
        <f t="shared" ref="B8" si="0">SUM(B9:B23)</f>
        <v>-134594358.52000001</v>
      </c>
      <c r="C8" s="195">
        <f t="shared" ref="C8" si="1">SUM(C9:C23)</f>
        <v>-80443562.863113999</v>
      </c>
      <c r="D8" s="124">
        <f>SUM(D9:D23)</f>
        <v>43782053.68</v>
      </c>
      <c r="E8" s="491">
        <f>SUM(E9:E23)-0.01</f>
        <v>-75624111.540000021</v>
      </c>
      <c r="F8" s="31">
        <f t="shared" ref="F8" si="2">SUM(F9:F23)</f>
        <v>-38387748.939999998</v>
      </c>
      <c r="G8" s="195">
        <f t="shared" ref="G8" si="3">SUM(G9:G23)</f>
        <v>-46502294.689999998</v>
      </c>
      <c r="H8" s="124">
        <f t="shared" ref="H8" si="4">SUM(H9:H23)</f>
        <v>68084824.024068415</v>
      </c>
      <c r="I8" s="491">
        <f t="shared" ref="I8" si="5">SUM(I9:I23)</f>
        <v>31200017.453504913</v>
      </c>
      <c r="J8" s="31">
        <f t="shared" ref="J8:O8" si="6">SUM(J9:J23)</f>
        <v>26871838.75</v>
      </c>
      <c r="K8" s="195">
        <f t="shared" si="6"/>
        <v>-14634068.269999994</v>
      </c>
      <c r="L8" s="124">
        <f t="shared" si="6"/>
        <v>-9047277.790000001</v>
      </c>
      <c r="M8" s="491">
        <f t="shared" si="6"/>
        <v>-35736428.469999999</v>
      </c>
      <c r="N8" s="31">
        <f t="shared" si="6"/>
        <v>-36691079.619999997</v>
      </c>
      <c r="O8" s="195">
        <f t="shared" si="6"/>
        <v>-30443494.649999999</v>
      </c>
      <c r="P8" s="31">
        <v>-40982.300000000003</v>
      </c>
      <c r="Q8" s="491">
        <f>SUM(Q9:Q23)</f>
        <v>-13331928.199999999</v>
      </c>
      <c r="R8" s="31">
        <f t="shared" ref="R8" si="7">SUM(R9:R23)</f>
        <v>-17322333.34</v>
      </c>
      <c r="S8" s="195">
        <f>SUM(S9:S23)</f>
        <v>-17204042.219999999</v>
      </c>
      <c r="T8" s="31">
        <f>SUM(T9:T23)</f>
        <v>-13269656.1</v>
      </c>
      <c r="U8" s="491">
        <f>SUM(U9:U23)</f>
        <v>-10734674.589999996</v>
      </c>
      <c r="V8" s="31">
        <f t="shared" ref="V8:X8" si="8">SUM(V9:V23)</f>
        <v>-17735376.050000001</v>
      </c>
      <c r="W8" s="195">
        <v>-16923635.949999999</v>
      </c>
      <c r="X8" s="31">
        <f t="shared" si="8"/>
        <v>-5175140.9600000046</v>
      </c>
      <c r="Y8" s="491">
        <f t="shared" ref="Y8:AD8" si="9">SUM(Y9:Y23)</f>
        <v>-29504558.219999999</v>
      </c>
      <c r="Z8" s="31">
        <f t="shared" si="9"/>
        <v>-32566256.699999996</v>
      </c>
      <c r="AA8" s="195">
        <f t="shared" si="9"/>
        <v>-13391509.210000001</v>
      </c>
      <c r="AB8" s="475">
        <f t="shared" si="9"/>
        <v>12015493.030201213</v>
      </c>
      <c r="AC8" s="60">
        <f t="shared" si="9"/>
        <v>-8623337.8600000031</v>
      </c>
      <c r="AD8" s="31">
        <f t="shared" si="9"/>
        <v>-13149745.918924164</v>
      </c>
      <c r="AE8" s="195">
        <f t="shared" ref="AE8" si="10">SUM(AE9:AE23)</f>
        <v>-21776552.610485788</v>
      </c>
      <c r="AF8" s="31">
        <f t="shared" ref="AF8" si="11">SUM(AF9:AF23)</f>
        <v>1200665.9521243491</v>
      </c>
      <c r="AG8" s="60">
        <f t="shared" ref="AG8" si="12">SUM(AG9:AG23)</f>
        <v>-15646032.559811153</v>
      </c>
      <c r="AH8" s="31">
        <f t="shared" ref="AH8" si="13">SUM(AH9:AH23)</f>
        <v>-11275027.985507622</v>
      </c>
      <c r="AI8" s="195">
        <f t="shared" ref="AI8" si="14">SUM(AI9:AI23)</f>
        <v>-16130436.953846702</v>
      </c>
      <c r="AJ8" s="31">
        <f t="shared" ref="AJ8" si="15">SUM(AJ9:AJ23)</f>
        <v>8503582.6455798894</v>
      </c>
      <c r="AK8" s="60">
        <f t="shared" ref="AK8:AP8" si="16">SUM(AK9:AK23)</f>
        <v>-8809643.487558363</v>
      </c>
      <c r="AL8" s="31">
        <f t="shared" si="16"/>
        <v>-9812883.0800000019</v>
      </c>
      <c r="AM8" s="195">
        <f t="shared" si="16"/>
        <v>-18353590.370000005</v>
      </c>
      <c r="AN8" s="31">
        <f t="shared" si="16"/>
        <v>1683862.7700000014</v>
      </c>
      <c r="AO8" s="60">
        <f t="shared" si="16"/>
        <v>-15310270.859999999</v>
      </c>
      <c r="AP8" s="31">
        <f t="shared" si="16"/>
        <v>-29243753.660000004</v>
      </c>
      <c r="AQ8" s="195">
        <v>-17862865.559999999</v>
      </c>
      <c r="AR8" s="59">
        <v>970513.76</v>
      </c>
      <c r="AS8" s="60">
        <v>-7696544.0300000003</v>
      </c>
      <c r="AT8" s="59">
        <v>-10573467.109999999</v>
      </c>
      <c r="AU8" s="65">
        <v>-10032338.119999999</v>
      </c>
      <c r="AV8" s="59">
        <v>3258571.95</v>
      </c>
      <c r="AW8" s="60">
        <v>887550.19</v>
      </c>
      <c r="AX8" s="59">
        <v>-1249122.67</v>
      </c>
      <c r="AY8" s="65">
        <v>-8729259.1799999997</v>
      </c>
      <c r="AZ8" s="59">
        <v>-2830209.2</v>
      </c>
      <c r="BA8" s="60">
        <v>-2450345.02</v>
      </c>
      <c r="BB8" s="59">
        <v>-4377281.8600000003</v>
      </c>
      <c r="BC8" s="256">
        <v>-10384205.35</v>
      </c>
      <c r="BD8" s="260">
        <f>SUM(BD9:BD23)</f>
        <v>-21776552.610485788</v>
      </c>
      <c r="BE8" s="60">
        <f t="shared" ref="BE8:BE24" si="17">AF8-AG8</f>
        <v>16846698.511935502</v>
      </c>
      <c r="BF8" s="59">
        <f>SUM(BF9:BF23)</f>
        <v>-4371004.574303532</v>
      </c>
      <c r="BG8" s="60">
        <f t="shared" ref="BG8:BG24" si="18">AH8-AI8</f>
        <v>4855408.96833908</v>
      </c>
      <c r="BH8" s="260">
        <f>SUM(BH9:BH23)</f>
        <v>-16130436.953846702</v>
      </c>
      <c r="BI8" s="60">
        <f t="shared" ref="BI8:BI24" si="19">AJ8-AK8</f>
        <v>17313226.133138254</v>
      </c>
      <c r="BJ8" s="59">
        <f>SUM(BJ9:BJ23)</f>
        <v>1003239.5924416343</v>
      </c>
      <c r="BK8" s="60">
        <f t="shared" ref="BK8:BK24" si="20">AL8-AM8</f>
        <v>8540707.2900000028</v>
      </c>
      <c r="BL8" s="260">
        <f>SUM(BL9:BL23)</f>
        <v>-18353590.370000005</v>
      </c>
      <c r="BM8" s="225">
        <f>SUM(BM9:BM23)</f>
        <v>16994133.630000003</v>
      </c>
      <c r="BN8" s="59">
        <f>SUM(BN9:BN23)</f>
        <v>13933482.800000004</v>
      </c>
      <c r="BO8" s="60">
        <f t="shared" ref="BO8:BO24" si="21">AP8-AQ8</f>
        <v>-11380888.100000005</v>
      </c>
      <c r="BP8" s="152">
        <v>-17862865.559999999</v>
      </c>
      <c r="BQ8" s="32">
        <v>8667057.790000001</v>
      </c>
      <c r="BR8" s="59">
        <v>2876923.0799999991</v>
      </c>
      <c r="BS8" s="60">
        <v>-541128.99000000022</v>
      </c>
      <c r="BT8" s="152">
        <v>-10032338.119999999</v>
      </c>
      <c r="BU8" s="60">
        <v>2371021.7600000002</v>
      </c>
      <c r="BV8" s="59">
        <v>2136672.86</v>
      </c>
      <c r="BW8" s="60">
        <v>7480136.5099999998</v>
      </c>
      <c r="BX8" s="153">
        <v>-8729259.1799999997</v>
      </c>
      <c r="BY8" s="60">
        <v>-379864.18000000017</v>
      </c>
      <c r="BZ8" s="59">
        <v>1926936.8400000003</v>
      </c>
      <c r="CA8" s="60">
        <v>6006923.4899999993</v>
      </c>
      <c r="CB8" s="59">
        <v>-10384205.35</v>
      </c>
    </row>
    <row r="9" spans="1:80" ht="27.9" customHeight="1">
      <c r="A9" s="149" t="s">
        <v>165</v>
      </c>
      <c r="B9" s="28">
        <v>-6713.22</v>
      </c>
      <c r="C9" s="164">
        <v>-5475.65</v>
      </c>
      <c r="D9" s="28">
        <v>-2031.39</v>
      </c>
      <c r="E9" s="488">
        <v>-7828.29</v>
      </c>
      <c r="F9" s="28">
        <v>1851.82</v>
      </c>
      <c r="G9" s="164">
        <v>12896.25</v>
      </c>
      <c r="H9" s="28">
        <v>29543.41</v>
      </c>
      <c r="I9" s="488">
        <v>17971.79</v>
      </c>
      <c r="J9" s="28">
        <v>12139.23</v>
      </c>
      <c r="K9" s="164">
        <v>6295.93</v>
      </c>
      <c r="L9" s="28">
        <v>43963.01</v>
      </c>
      <c r="M9" s="488">
        <v>41134.49</v>
      </c>
      <c r="N9" s="28">
        <v>30089.64</v>
      </c>
      <c r="O9" s="164">
        <v>13890.3</v>
      </c>
      <c r="P9" s="28">
        <v>14429.28</v>
      </c>
      <c r="Q9" s="488">
        <v>1474.56</v>
      </c>
      <c r="R9" s="28">
        <v>6757.84</v>
      </c>
      <c r="S9" s="164">
        <v>4224.4799999999996</v>
      </c>
      <c r="T9" s="28">
        <v>-14566.25</v>
      </c>
      <c r="U9" s="488">
        <v>-11096.74</v>
      </c>
      <c r="V9" s="28">
        <v>-5257.4</v>
      </c>
      <c r="W9" s="164">
        <v>-2821.47</v>
      </c>
      <c r="X9" s="28">
        <v>108668.83</v>
      </c>
      <c r="Y9" s="488">
        <v>76772.91</v>
      </c>
      <c r="Z9" s="28">
        <v>65552.570000000007</v>
      </c>
      <c r="AA9" s="164">
        <v>35657.370000000003</v>
      </c>
      <c r="AB9" s="30">
        <v>385379.66000000003</v>
      </c>
      <c r="AC9" s="29">
        <v>298632.31</v>
      </c>
      <c r="AD9" s="28">
        <v>36198.76</v>
      </c>
      <c r="AE9" s="164">
        <v>30864.7</v>
      </c>
      <c r="AF9" s="28">
        <v>116906.03</v>
      </c>
      <c r="AG9" s="29">
        <v>309765.46999999997</v>
      </c>
      <c r="AH9" s="28">
        <v>-177020.71000000002</v>
      </c>
      <c r="AI9" s="164">
        <v>-157499.11680000013</v>
      </c>
      <c r="AJ9" s="28">
        <v>-356776.83130000031</v>
      </c>
      <c r="AK9" s="29">
        <v>-408293.47000000003</v>
      </c>
      <c r="AL9" s="28">
        <f>-'RZIS '!AL17</f>
        <v>-395824.26</v>
      </c>
      <c r="AM9" s="164">
        <v>-160626.13</v>
      </c>
      <c r="AN9" s="28">
        <v>-90520.99</v>
      </c>
      <c r="AO9" s="29">
        <v>-45353.27</v>
      </c>
      <c r="AP9" s="28">
        <v>-78944.19</v>
      </c>
      <c r="AQ9" s="164">
        <v>56772.26</v>
      </c>
      <c r="AR9" s="28">
        <v>359696.64000000001</v>
      </c>
      <c r="AS9" s="29">
        <v>-20782.689999999999</v>
      </c>
      <c r="AT9" s="28">
        <v>-20782.689999999999</v>
      </c>
      <c r="AU9" s="55">
        <v>0</v>
      </c>
      <c r="AV9" s="28">
        <v>76731.539999999994</v>
      </c>
      <c r="AW9" s="29">
        <v>38203.56</v>
      </c>
      <c r="AX9" s="28">
        <v>38203.56</v>
      </c>
      <c r="AY9" s="55"/>
      <c r="AZ9" s="28">
        <v>63595.78</v>
      </c>
      <c r="BA9" s="29">
        <v>32852.46</v>
      </c>
      <c r="BB9" s="28">
        <v>32852.46</v>
      </c>
      <c r="BC9" s="257">
        <v>0</v>
      </c>
      <c r="BD9" s="261">
        <f>AE9</f>
        <v>30864.7</v>
      </c>
      <c r="BE9" s="29">
        <f t="shared" si="17"/>
        <v>-192859.43999999997</v>
      </c>
      <c r="BF9" s="28">
        <f>AG9-AH9</f>
        <v>486786.18</v>
      </c>
      <c r="BG9" s="29">
        <f t="shared" si="18"/>
        <v>-19521.593199999887</v>
      </c>
      <c r="BH9" s="261">
        <f>AI9</f>
        <v>-157499.11680000013</v>
      </c>
      <c r="BI9" s="29">
        <f t="shared" si="19"/>
        <v>51516.638699999719</v>
      </c>
      <c r="BJ9" s="28">
        <f>AK9-AL9</f>
        <v>-12469.210000000021</v>
      </c>
      <c r="BK9" s="29">
        <f t="shared" si="20"/>
        <v>-235198.13</v>
      </c>
      <c r="BL9" s="261">
        <v>-160626.13</v>
      </c>
      <c r="BM9" s="226">
        <f t="shared" ref="BM9:BM23" si="22">AN9-AO9</f>
        <v>-45167.720000000008</v>
      </c>
      <c r="BN9" s="28">
        <f>AO9-AP9</f>
        <v>33590.920000000006</v>
      </c>
      <c r="BO9" s="29">
        <f t="shared" si="21"/>
        <v>-135716.45000000001</v>
      </c>
      <c r="BP9" s="157">
        <v>56772.26</v>
      </c>
      <c r="BQ9" s="29">
        <v>380479.33</v>
      </c>
      <c r="BR9" s="28">
        <v>0</v>
      </c>
      <c r="BS9" s="29">
        <v>-20782.689999999999</v>
      </c>
      <c r="BT9" s="157">
        <v>0</v>
      </c>
      <c r="BU9" s="29">
        <v>38527.979999999996</v>
      </c>
      <c r="BV9" s="28">
        <v>0</v>
      </c>
      <c r="BW9" s="29">
        <v>38203.56</v>
      </c>
      <c r="BX9" s="158"/>
      <c r="BY9" s="29">
        <v>30743.32</v>
      </c>
      <c r="BZ9" s="28">
        <v>0</v>
      </c>
      <c r="CA9" s="29">
        <v>32852.46</v>
      </c>
      <c r="CB9" s="28">
        <v>0</v>
      </c>
    </row>
    <row r="10" spans="1:80" ht="27.9" customHeight="1">
      <c r="A10" s="22" t="s">
        <v>5</v>
      </c>
      <c r="B10" s="28">
        <v>7863113.4100000001</v>
      </c>
      <c r="C10" s="164">
        <v>4000572.5999999996</v>
      </c>
      <c r="D10" s="28">
        <v>14361604.459999999</v>
      </c>
      <c r="E10" s="488">
        <v>10474672.539999999</v>
      </c>
      <c r="F10" s="28">
        <f>6999710.88</f>
        <v>6999710.8799999999</v>
      </c>
      <c r="G10" s="164">
        <v>3555555.91</v>
      </c>
      <c r="H10" s="28">
        <v>13450022.279999999</v>
      </c>
      <c r="I10" s="488">
        <v>10019201.690000001</v>
      </c>
      <c r="J10" s="28">
        <v>6686670.6299999999</v>
      </c>
      <c r="K10" s="164">
        <v>3440789.14</v>
      </c>
      <c r="L10" s="28">
        <v>13595935.75</v>
      </c>
      <c r="M10" s="488">
        <v>10260716.720000001</v>
      </c>
      <c r="N10" s="28">
        <v>6981228.4500000002</v>
      </c>
      <c r="O10" s="164">
        <v>3537599.59</v>
      </c>
      <c r="P10" s="28">
        <v>13146478.859999999</v>
      </c>
      <c r="Q10" s="488">
        <v>9657807.7799999993</v>
      </c>
      <c r="R10" s="28">
        <v>6381047.2400000002</v>
      </c>
      <c r="S10" s="164">
        <v>3124209.82</v>
      </c>
      <c r="T10" s="28">
        <v>12407295.220000001</v>
      </c>
      <c r="U10" s="488">
        <v>9306994.8599999994</v>
      </c>
      <c r="V10" s="28">
        <v>6161457.4699999997</v>
      </c>
      <c r="W10" s="164">
        <v>3099246.64</v>
      </c>
      <c r="X10" s="28">
        <v>12595436.33</v>
      </c>
      <c r="Y10" s="488">
        <v>9491726.2799999993</v>
      </c>
      <c r="Z10" s="28">
        <v>6357763.6600000001</v>
      </c>
      <c r="AA10" s="164">
        <v>3183687.52</v>
      </c>
      <c r="AB10" s="30">
        <v>12906530.1</v>
      </c>
      <c r="AC10" s="58">
        <v>9700614.8699999992</v>
      </c>
      <c r="AD10" s="28">
        <v>6450747.4199999999</v>
      </c>
      <c r="AE10" s="164">
        <v>3210557.4899999998</v>
      </c>
      <c r="AF10" s="28">
        <v>12166020.660000002</v>
      </c>
      <c r="AG10" s="58">
        <v>8978255.3499999996</v>
      </c>
      <c r="AH10" s="28">
        <v>5887684.6500000004</v>
      </c>
      <c r="AI10" s="164">
        <v>2924383.85</v>
      </c>
      <c r="AJ10" s="28">
        <v>11118742.079999998</v>
      </c>
      <c r="AK10" s="58">
        <v>8214467.8499999987</v>
      </c>
      <c r="AL10" s="28">
        <v>5402195.3799999999</v>
      </c>
      <c r="AM10" s="164">
        <v>2656756.56</v>
      </c>
      <c r="AN10" s="28">
        <v>10252491.57</v>
      </c>
      <c r="AO10" s="58">
        <v>7317821.8300000001</v>
      </c>
      <c r="AP10" s="28">
        <v>4618426.26</v>
      </c>
      <c r="AQ10" s="164">
        <v>2196372.7000000002</v>
      </c>
      <c r="AR10" s="57">
        <v>8450648.25</v>
      </c>
      <c r="AS10" s="58">
        <v>6264847.0999999996</v>
      </c>
      <c r="AT10" s="57">
        <v>4044210.84</v>
      </c>
      <c r="AU10" s="66">
        <v>1976224.55</v>
      </c>
      <c r="AV10" s="57">
        <v>7539705.6100000003</v>
      </c>
      <c r="AW10" s="58">
        <v>5687527.5800000001</v>
      </c>
      <c r="AX10" s="57">
        <v>3691139.03</v>
      </c>
      <c r="AY10" s="66">
        <v>1816935.48</v>
      </c>
      <c r="AZ10" s="57">
        <v>7339447.5700000003</v>
      </c>
      <c r="BA10" s="58">
        <v>5467993.4000000004</v>
      </c>
      <c r="BB10" s="57">
        <v>3618135.23</v>
      </c>
      <c r="BC10" s="258">
        <v>1799243.09</v>
      </c>
      <c r="BD10" s="261">
        <f t="shared" ref="BD10:BD23" si="23">AE10</f>
        <v>3210557.4899999998</v>
      </c>
      <c r="BE10" s="29">
        <f t="shared" si="17"/>
        <v>3187765.3100000024</v>
      </c>
      <c r="BF10" s="28">
        <f t="shared" ref="BF10:BF23" si="24">AG10-AH10</f>
        <v>3090570.6999999993</v>
      </c>
      <c r="BG10" s="29">
        <f t="shared" si="18"/>
        <v>2963300.8000000003</v>
      </c>
      <c r="BH10" s="261">
        <f t="shared" ref="BH10:BH23" si="25">AI10</f>
        <v>2924383.85</v>
      </c>
      <c r="BI10" s="29">
        <f t="shared" si="19"/>
        <v>2904274.2299999995</v>
      </c>
      <c r="BJ10" s="28">
        <f t="shared" ref="BJ10:BJ23" si="26">AK10-AL10</f>
        <v>2812272.4699999988</v>
      </c>
      <c r="BK10" s="29">
        <f t="shared" si="20"/>
        <v>2745438.82</v>
      </c>
      <c r="BL10" s="261">
        <v>2656756.56</v>
      </c>
      <c r="BM10" s="226">
        <f t="shared" si="22"/>
        <v>2934669.74</v>
      </c>
      <c r="BN10" s="28">
        <f t="shared" ref="BN10:BN23" si="27">AO10-AP10</f>
        <v>2699395.5700000003</v>
      </c>
      <c r="BO10" s="29">
        <f t="shared" si="21"/>
        <v>2422053.5599999996</v>
      </c>
      <c r="BP10" s="69">
        <v>2196372.7000000002</v>
      </c>
      <c r="BQ10" s="29">
        <v>2185801.1500000004</v>
      </c>
      <c r="BR10" s="28">
        <v>2220636.2599999998</v>
      </c>
      <c r="BS10" s="29">
        <v>2067986.2899999998</v>
      </c>
      <c r="BT10" s="157">
        <v>1976224.55</v>
      </c>
      <c r="BU10" s="29">
        <v>1852178.0300000003</v>
      </c>
      <c r="BV10" s="28">
        <v>1996388.5500000003</v>
      </c>
      <c r="BW10" s="29">
        <v>1874203.5499999998</v>
      </c>
      <c r="BX10" s="158">
        <v>1816935.48</v>
      </c>
      <c r="BY10" s="29">
        <v>1871454.17</v>
      </c>
      <c r="BZ10" s="28">
        <v>1849858.1700000004</v>
      </c>
      <c r="CA10" s="29">
        <v>1818892.14</v>
      </c>
      <c r="CB10" s="28">
        <v>1799243.09</v>
      </c>
    </row>
    <row r="11" spans="1:80" ht="27.9" customHeight="1">
      <c r="A11" s="22" t="s">
        <v>85</v>
      </c>
      <c r="B11" s="28">
        <v>750120.47</v>
      </c>
      <c r="C11" s="164">
        <v>216460.3668860005</v>
      </c>
      <c r="D11" s="28">
        <v>-71694.149999999994</v>
      </c>
      <c r="E11" s="488">
        <v>287100.36</v>
      </c>
      <c r="F11" s="28">
        <v>-2101.92</v>
      </c>
      <c r="G11" s="164">
        <v>-155042.06</v>
      </c>
      <c r="H11" s="28">
        <v>-1675977.1859315829</v>
      </c>
      <c r="I11" s="488">
        <v>-3435657.36</v>
      </c>
      <c r="J11" s="28">
        <v>-1602846.67</v>
      </c>
      <c r="K11" s="164">
        <f>-81316.35+0.01</f>
        <v>-81316.340000000011</v>
      </c>
      <c r="L11" s="28">
        <v>540559.05000000005</v>
      </c>
      <c r="M11" s="488">
        <v>236193.05</v>
      </c>
      <c r="N11" s="28">
        <v>216837.08</v>
      </c>
      <c r="O11" s="164">
        <v>-55848.3</v>
      </c>
      <c r="P11" s="28">
        <v>-683731.76</v>
      </c>
      <c r="Q11" s="488">
        <v>-547972.81000000006</v>
      </c>
      <c r="R11" s="28">
        <v>-486387.68</v>
      </c>
      <c r="S11" s="164">
        <v>-63542.77</v>
      </c>
      <c r="T11" s="28">
        <v>1116931.6299999999</v>
      </c>
      <c r="U11" s="488">
        <v>1190067.32</v>
      </c>
      <c r="V11" s="28">
        <v>1105882.3400000001</v>
      </c>
      <c r="W11" s="164">
        <v>859372.75</v>
      </c>
      <c r="X11" s="28">
        <v>-471891.05</v>
      </c>
      <c r="Y11" s="488">
        <v>-439874.51</v>
      </c>
      <c r="Z11" s="28">
        <v>-237350.39</v>
      </c>
      <c r="AA11" s="164">
        <v>-115768.88</v>
      </c>
      <c r="AB11" s="30">
        <v>166232.70896000002</v>
      </c>
      <c r="AC11" s="58">
        <v>101775.86</v>
      </c>
      <c r="AD11" s="28">
        <v>351904.67999999993</v>
      </c>
      <c r="AE11" s="164">
        <v>59927.039999999972</v>
      </c>
      <c r="AF11" s="28">
        <v>-554003.34</v>
      </c>
      <c r="AG11" s="58">
        <v>-537494.52</v>
      </c>
      <c r="AH11" s="28">
        <v>-459486.40000000008</v>
      </c>
      <c r="AI11" s="164">
        <v>-377937.62000000011</v>
      </c>
      <c r="AJ11" s="28">
        <v>422720.54</v>
      </c>
      <c r="AK11" s="58">
        <v>119470.71999999997</v>
      </c>
      <c r="AL11" s="28">
        <v>656622.71</v>
      </c>
      <c r="AM11" s="164">
        <v>-192375.39</v>
      </c>
      <c r="AN11" s="28">
        <v>210015.31</v>
      </c>
      <c r="AO11" s="58">
        <v>153111.79999999999</v>
      </c>
      <c r="AP11" s="28">
        <v>31089.53</v>
      </c>
      <c r="AQ11" s="164">
        <v>-225760.66</v>
      </c>
      <c r="AR11" s="57">
        <v>480410.89</v>
      </c>
      <c r="AS11" s="58">
        <v>187736.04</v>
      </c>
      <c r="AT11" s="57">
        <v>-55105.43</v>
      </c>
      <c r="AU11" s="66">
        <v>6762.85</v>
      </c>
      <c r="AV11" s="57">
        <v>52309.79</v>
      </c>
      <c r="AW11" s="58">
        <v>6282.12</v>
      </c>
      <c r="AX11" s="57">
        <v>29373.48</v>
      </c>
      <c r="AY11" s="66">
        <v>18374.52</v>
      </c>
      <c r="AZ11" s="57">
        <v>-2910.68</v>
      </c>
      <c r="BA11" s="58">
        <v>16148.75</v>
      </c>
      <c r="BB11" s="57">
        <v>14734.09</v>
      </c>
      <c r="BC11" s="258">
        <v>12017.91</v>
      </c>
      <c r="BD11" s="261">
        <f t="shared" si="23"/>
        <v>59927.039999999972</v>
      </c>
      <c r="BE11" s="29">
        <f t="shared" si="17"/>
        <v>-16508.819999999949</v>
      </c>
      <c r="BF11" s="28">
        <f t="shared" si="24"/>
        <v>-78008.119999999937</v>
      </c>
      <c r="BG11" s="29">
        <f t="shared" si="18"/>
        <v>-81548.77999999997</v>
      </c>
      <c r="BH11" s="261">
        <f t="shared" si="25"/>
        <v>-377937.62000000011</v>
      </c>
      <c r="BI11" s="29">
        <f t="shared" si="19"/>
        <v>303249.82</v>
      </c>
      <c r="BJ11" s="28">
        <f t="shared" si="26"/>
        <v>-537151.99</v>
      </c>
      <c r="BK11" s="29">
        <f t="shared" si="20"/>
        <v>848998.1</v>
      </c>
      <c r="BL11" s="261">
        <v>-192375.39</v>
      </c>
      <c r="BM11" s="226">
        <f t="shared" si="22"/>
        <v>56903.510000000009</v>
      </c>
      <c r="BN11" s="28">
        <f t="shared" si="27"/>
        <v>122022.26999999999</v>
      </c>
      <c r="BO11" s="29">
        <f t="shared" si="21"/>
        <v>256850.19</v>
      </c>
      <c r="BP11" s="69">
        <v>-225760.66</v>
      </c>
      <c r="BQ11" s="29">
        <v>292674.84999999998</v>
      </c>
      <c r="BR11" s="28">
        <v>242841.47</v>
      </c>
      <c r="BS11" s="29">
        <v>-61868.28</v>
      </c>
      <c r="BT11" s="157">
        <v>6762.85</v>
      </c>
      <c r="BU11" s="29">
        <v>46027.67</v>
      </c>
      <c r="BV11" s="28">
        <v>-23091.360000000001</v>
      </c>
      <c r="BW11" s="29">
        <v>10998.96</v>
      </c>
      <c r="BX11" s="158">
        <v>18374.52</v>
      </c>
      <c r="BY11" s="29">
        <v>-19059.43</v>
      </c>
      <c r="BZ11" s="28">
        <v>1414.6599999999999</v>
      </c>
      <c r="CA11" s="29">
        <v>2716.1800000000003</v>
      </c>
      <c r="CB11" s="28">
        <v>12017.91</v>
      </c>
    </row>
    <row r="12" spans="1:80" ht="27.9" customHeight="1">
      <c r="A12" s="22" t="s">
        <v>86</v>
      </c>
      <c r="B12" s="28">
        <f>-30303.53+91205.99</f>
        <v>60902.460000000006</v>
      </c>
      <c r="C12" s="164">
        <f>46965.59-12719.76</f>
        <v>34245.829999999994</v>
      </c>
      <c r="D12" s="28">
        <f>-186504.97+884060.16</f>
        <v>697555.19000000006</v>
      </c>
      <c r="E12" s="488">
        <f>-2189445.89+796448.76</f>
        <v>-1392997.1300000001</v>
      </c>
      <c r="F12" s="28">
        <f>-1272727.95+521337.1</f>
        <v>-751390.85</v>
      </c>
      <c r="G12" s="164">
        <f>239367.92-547046.59</f>
        <v>-307678.66999999993</v>
      </c>
      <c r="H12" s="28">
        <f>-305825.81+2275645.65</f>
        <v>1969819.8399999999</v>
      </c>
      <c r="I12" s="488">
        <v>1728708.29</v>
      </c>
      <c r="J12" s="28">
        <f>1554021.68-54547.59</f>
        <v>1499474.0899999999</v>
      </c>
      <c r="K12" s="164">
        <f>730715.4-12885</f>
        <v>717830.4</v>
      </c>
      <c r="L12" s="28">
        <f>-56432.77+2421226.73</f>
        <v>2364793.96</v>
      </c>
      <c r="M12" s="488">
        <f>-43193.64+1559023.06</f>
        <v>1515829.4200000002</v>
      </c>
      <c r="N12" s="28">
        <f>885355.62-30281</f>
        <v>855074.62</v>
      </c>
      <c r="O12" s="164">
        <v>313307.83</v>
      </c>
      <c r="P12" s="28">
        <f>858153.57-12704.7-90457.5</f>
        <v>754991.37</v>
      </c>
      <c r="Q12" s="488">
        <f>-6321.66+614754.14-90457.5</f>
        <v>517974.98</v>
      </c>
      <c r="R12" s="28">
        <f>447556.45-6386.87</f>
        <v>441169.58</v>
      </c>
      <c r="S12" s="164">
        <v>214848.75</v>
      </c>
      <c r="T12" s="28">
        <f>1395699.98-301525</f>
        <v>1094174.98</v>
      </c>
      <c r="U12" s="488">
        <v>588919.28</v>
      </c>
      <c r="V12" s="28">
        <v>691731.61</v>
      </c>
      <c r="W12" s="164">
        <v>355888.55</v>
      </c>
      <c r="X12" s="28">
        <v>2271698.79</v>
      </c>
      <c r="Y12" s="488">
        <v>1757826.67</v>
      </c>
      <c r="Z12" s="28">
        <v>1190234.25</v>
      </c>
      <c r="AA12" s="164">
        <v>568806.42000000004</v>
      </c>
      <c r="AB12" s="30">
        <v>2305872.3200000003</v>
      </c>
      <c r="AC12" s="58">
        <v>1807581.07</v>
      </c>
      <c r="AD12" s="28">
        <v>1306110.9999999998</v>
      </c>
      <c r="AE12" s="164">
        <v>678471.27</v>
      </c>
      <c r="AF12" s="28">
        <v>1810364.7300000002</v>
      </c>
      <c r="AG12" s="58">
        <v>1519081.7400000002</v>
      </c>
      <c r="AH12" s="28">
        <v>1163216.99</v>
      </c>
      <c r="AI12" s="164">
        <v>539192.04999999993</v>
      </c>
      <c r="AJ12" s="28">
        <v>1527317.8600000003</v>
      </c>
      <c r="AK12" s="58">
        <v>1412729.1199999999</v>
      </c>
      <c r="AL12" s="28">
        <v>1064691.55</v>
      </c>
      <c r="AM12" s="164">
        <v>488807.74</v>
      </c>
      <c r="AN12" s="28">
        <v>1973361.87</v>
      </c>
      <c r="AO12" s="58">
        <v>1416150.96</v>
      </c>
      <c r="AP12" s="28">
        <v>1074625.44</v>
      </c>
      <c r="AQ12" s="164">
        <v>555198.89</v>
      </c>
      <c r="AR12" s="57">
        <v>2198713.44</v>
      </c>
      <c r="AS12" s="58">
        <v>1556050.43</v>
      </c>
      <c r="AT12" s="57">
        <v>1312863.27</v>
      </c>
      <c r="AU12" s="66">
        <v>622731.99</v>
      </c>
      <c r="AV12" s="57">
        <v>2526561.4900000002</v>
      </c>
      <c r="AW12" s="58">
        <v>1855621.16</v>
      </c>
      <c r="AX12" s="57">
        <v>1479678.1</v>
      </c>
      <c r="AY12" s="66">
        <v>745362.74</v>
      </c>
      <c r="AZ12" s="57">
        <v>3757621.24</v>
      </c>
      <c r="BA12" s="58">
        <v>2755753.31</v>
      </c>
      <c r="BB12" s="57">
        <v>1859607.95</v>
      </c>
      <c r="BC12" s="258">
        <v>881365.01</v>
      </c>
      <c r="BD12" s="261">
        <f t="shared" si="23"/>
        <v>678471.27</v>
      </c>
      <c r="BE12" s="29">
        <f t="shared" si="17"/>
        <v>291282.99</v>
      </c>
      <c r="BF12" s="28">
        <f t="shared" si="24"/>
        <v>355864.75000000023</v>
      </c>
      <c r="BG12" s="29">
        <f t="shared" si="18"/>
        <v>624024.94000000006</v>
      </c>
      <c r="BH12" s="261">
        <f t="shared" si="25"/>
        <v>539192.04999999993</v>
      </c>
      <c r="BI12" s="29">
        <f t="shared" si="19"/>
        <v>114588.74000000046</v>
      </c>
      <c r="BJ12" s="28">
        <f t="shared" si="26"/>
        <v>348037.56999999983</v>
      </c>
      <c r="BK12" s="29">
        <f t="shared" si="20"/>
        <v>575883.81000000006</v>
      </c>
      <c r="BL12" s="261">
        <v>488807.74</v>
      </c>
      <c r="BM12" s="226">
        <f t="shared" si="22"/>
        <v>557210.91000000015</v>
      </c>
      <c r="BN12" s="28">
        <f t="shared" si="27"/>
        <v>341525.52</v>
      </c>
      <c r="BO12" s="29">
        <f t="shared" si="21"/>
        <v>519426.54999999993</v>
      </c>
      <c r="BP12" s="69">
        <v>555198.89</v>
      </c>
      <c r="BQ12" s="29">
        <v>642663.01</v>
      </c>
      <c r="BR12" s="28">
        <v>243187.15999999992</v>
      </c>
      <c r="BS12" s="29">
        <v>690131.28</v>
      </c>
      <c r="BT12" s="157">
        <v>622731.99</v>
      </c>
      <c r="BU12" s="29">
        <v>670940.33000000031</v>
      </c>
      <c r="BV12" s="28">
        <v>375943.05999999982</v>
      </c>
      <c r="BW12" s="29">
        <v>734315.3600000001</v>
      </c>
      <c r="BX12" s="158">
        <v>745362.74</v>
      </c>
      <c r="BY12" s="29">
        <v>1001867.9300000002</v>
      </c>
      <c r="BZ12" s="28">
        <v>896145.3600000001</v>
      </c>
      <c r="CA12" s="29">
        <v>978242.94</v>
      </c>
      <c r="CB12" s="28">
        <v>881365.01</v>
      </c>
    </row>
    <row r="13" spans="1:80" ht="27.9" customHeight="1">
      <c r="A13" s="22" t="s">
        <v>178</v>
      </c>
      <c r="B13" s="28">
        <v>-15288.69</v>
      </c>
      <c r="C13" s="164">
        <v>-3135.5</v>
      </c>
      <c r="D13" s="28">
        <v>291320.52999999997</v>
      </c>
      <c r="E13" s="488">
        <v>218281.15</v>
      </c>
      <c r="F13" s="28">
        <v>215891.4</v>
      </c>
      <c r="G13" s="164">
        <v>220451.23</v>
      </c>
      <c r="H13" s="28">
        <v>339950.7</v>
      </c>
      <c r="I13" s="488">
        <v>5270.79</v>
      </c>
      <c r="J13" s="28">
        <v>26032.62</v>
      </c>
      <c r="K13" s="164">
        <v>20504.72</v>
      </c>
      <c r="L13" s="28">
        <v>252.49</v>
      </c>
      <c r="M13" s="488">
        <v>4473.07</v>
      </c>
      <c r="N13" s="28">
        <v>10031.58</v>
      </c>
      <c r="O13" s="164">
        <v>-79639.14</v>
      </c>
      <c r="P13" s="28">
        <v>-506996.67</v>
      </c>
      <c r="Q13" s="488">
        <v>-354764.49</v>
      </c>
      <c r="R13" s="28">
        <v>-369332.22</v>
      </c>
      <c r="S13" s="164">
        <v>-150103.95000000001</v>
      </c>
      <c r="T13" s="28">
        <v>270312.65999999997</v>
      </c>
      <c r="U13" s="488">
        <v>-124116.55</v>
      </c>
      <c r="V13" s="28">
        <v>-137354.51999999999</v>
      </c>
      <c r="W13" s="164">
        <v>-145589.17000000001</v>
      </c>
      <c r="X13" s="28">
        <v>-327141.48</v>
      </c>
      <c r="Y13" s="488">
        <v>-142751.57999999999</v>
      </c>
      <c r="Z13" s="28">
        <v>-108914.79</v>
      </c>
      <c r="AA13" s="164">
        <v>-92386.36</v>
      </c>
      <c r="AB13" s="30">
        <v>-400508.93000000005</v>
      </c>
      <c r="AC13" s="58">
        <v>54113.77</v>
      </c>
      <c r="AD13" s="28">
        <v>13068.370000000112</v>
      </c>
      <c r="AE13" s="164">
        <v>-18716.319999999963</v>
      </c>
      <c r="AF13" s="28">
        <v>279555.93000000028</v>
      </c>
      <c r="AG13" s="58">
        <v>178831.34</v>
      </c>
      <c r="AH13" s="28">
        <v>177979.67000000013</v>
      </c>
      <c r="AI13" s="164">
        <v>173255.99000000008</v>
      </c>
      <c r="AJ13" s="28">
        <v>247621.23000000094</v>
      </c>
      <c r="AK13" s="58">
        <v>178396.93999999997</v>
      </c>
      <c r="AL13" s="28">
        <v>11686.12</v>
      </c>
      <c r="AM13" s="164">
        <v>60270.400000000001</v>
      </c>
      <c r="AN13" s="28">
        <v>-5453754.0499999998</v>
      </c>
      <c r="AO13" s="58">
        <v>-6200834.4699999997</v>
      </c>
      <c r="AP13" s="28">
        <v>-6223855.1100000003</v>
      </c>
      <c r="AQ13" s="164">
        <v>-2859.94</v>
      </c>
      <c r="AR13" s="57">
        <v>-3153098.56</v>
      </c>
      <c r="AS13" s="58">
        <v>-855313.7</v>
      </c>
      <c r="AT13" s="57">
        <v>-1621224.39</v>
      </c>
      <c r="AU13" s="66">
        <v>-667962.05000000005</v>
      </c>
      <c r="AV13" s="57">
        <v>999035.68</v>
      </c>
      <c r="AW13" s="58">
        <v>727121.57</v>
      </c>
      <c r="AX13" s="57">
        <v>47806.93</v>
      </c>
      <c r="AY13" s="66">
        <v>1120729.8999999999</v>
      </c>
      <c r="AZ13" s="57">
        <v>-1119761.43</v>
      </c>
      <c r="BA13" s="58">
        <v>-474014.77</v>
      </c>
      <c r="BB13" s="57">
        <v>-447400.69</v>
      </c>
      <c r="BC13" s="258">
        <v>4582.07</v>
      </c>
      <c r="BD13" s="261">
        <f t="shared" si="23"/>
        <v>-18716.319999999963</v>
      </c>
      <c r="BE13" s="29">
        <f t="shared" si="17"/>
        <v>100724.59000000029</v>
      </c>
      <c r="BF13" s="28">
        <f t="shared" si="24"/>
        <v>851.66999999986729</v>
      </c>
      <c r="BG13" s="29">
        <f t="shared" si="18"/>
        <v>4723.6800000000512</v>
      </c>
      <c r="BH13" s="261">
        <f t="shared" si="25"/>
        <v>173255.99000000008</v>
      </c>
      <c r="BI13" s="29">
        <f t="shared" si="19"/>
        <v>69224.290000000969</v>
      </c>
      <c r="BJ13" s="28">
        <f t="shared" si="26"/>
        <v>166710.81999999998</v>
      </c>
      <c r="BK13" s="29">
        <f t="shared" si="20"/>
        <v>-48584.28</v>
      </c>
      <c r="BL13" s="261">
        <v>60270.400000000001</v>
      </c>
      <c r="BM13" s="226">
        <f t="shared" si="22"/>
        <v>747080.41999999993</v>
      </c>
      <c r="BN13" s="28">
        <f t="shared" si="27"/>
        <v>23020.640000000596</v>
      </c>
      <c r="BO13" s="29">
        <f t="shared" si="21"/>
        <v>-6220995.1699999999</v>
      </c>
      <c r="BP13" s="69">
        <v>-2859.94</v>
      </c>
      <c r="BQ13" s="29">
        <v>-2297784.8600000003</v>
      </c>
      <c r="BR13" s="28">
        <v>765910.69</v>
      </c>
      <c r="BS13" s="29">
        <v>-953262.33999999985</v>
      </c>
      <c r="BT13" s="157">
        <v>-667962.05000000005</v>
      </c>
      <c r="BU13" s="29">
        <v>271914.1100000001</v>
      </c>
      <c r="BV13" s="28">
        <v>679314.6399999999</v>
      </c>
      <c r="BW13" s="29">
        <v>-1072922.97</v>
      </c>
      <c r="BX13" s="158">
        <v>1120729.8999999999</v>
      </c>
      <c r="BY13" s="29">
        <v>-645746.65999999992</v>
      </c>
      <c r="BZ13" s="28">
        <v>-26614.080000000016</v>
      </c>
      <c r="CA13" s="29">
        <v>-451982.76</v>
      </c>
      <c r="CB13" s="28">
        <v>4582.07</v>
      </c>
    </row>
    <row r="14" spans="1:80" ht="27.9" customHeight="1">
      <c r="A14" s="22" t="s">
        <v>87</v>
      </c>
      <c r="B14" s="28">
        <v>-619651.18000000005</v>
      </c>
      <c r="C14" s="164">
        <v>-281906.90999999997</v>
      </c>
      <c r="D14" s="28">
        <v>-2667190.9900000002</v>
      </c>
      <c r="E14" s="488">
        <v>-2334482.7999999998</v>
      </c>
      <c r="F14" s="28">
        <v>-2313777.7400000002</v>
      </c>
      <c r="G14" s="164">
        <v>-1044556.62</v>
      </c>
      <c r="H14" s="28">
        <v>11237.97</v>
      </c>
      <c r="I14" s="488">
        <v>11237.970000000001</v>
      </c>
      <c r="J14" s="28">
        <v>11237.97</v>
      </c>
      <c r="K14" s="164">
        <v>11237.97</v>
      </c>
      <c r="L14" s="28">
        <f>608970.71</f>
        <v>608970.71</v>
      </c>
      <c r="M14" s="488">
        <v>540080.91</v>
      </c>
      <c r="N14" s="28">
        <v>145880.91</v>
      </c>
      <c r="O14" s="164">
        <v>24000</v>
      </c>
      <c r="P14" s="28">
        <v>-6625</v>
      </c>
      <c r="Q14" s="488">
        <v>-6625</v>
      </c>
      <c r="R14" s="28">
        <v>-6625</v>
      </c>
      <c r="S14" s="164">
        <v>0</v>
      </c>
      <c r="T14" s="28">
        <v>30032.29</v>
      </c>
      <c r="U14" s="488">
        <v>30334</v>
      </c>
      <c r="V14" s="28">
        <v>0</v>
      </c>
      <c r="W14" s="164">
        <v>0</v>
      </c>
      <c r="X14" s="28">
        <v>-5588888.9000000004</v>
      </c>
      <c r="Y14" s="488">
        <v>-5721227.8899999997</v>
      </c>
      <c r="Z14" s="28">
        <v>-5721227.8899999997</v>
      </c>
      <c r="AA14" s="164">
        <v>-10850</v>
      </c>
      <c r="AB14" s="30">
        <v>115163.84000000003</v>
      </c>
      <c r="AC14" s="58">
        <v>132772.84</v>
      </c>
      <c r="AD14" s="28">
        <v>147884.80000000002</v>
      </c>
      <c r="AE14" s="164">
        <v>9484.8000000000011</v>
      </c>
      <c r="AF14" s="28">
        <v>-526337.30000000005</v>
      </c>
      <c r="AG14" s="58">
        <v>-525195.76</v>
      </c>
      <c r="AH14" s="28">
        <v>-610049.17000000004</v>
      </c>
      <c r="AI14" s="164">
        <v>0</v>
      </c>
      <c r="AJ14" s="28">
        <v>0</v>
      </c>
      <c r="AK14" s="58">
        <v>0</v>
      </c>
      <c r="AL14" s="28">
        <v>0</v>
      </c>
      <c r="AM14" s="164">
        <v>0</v>
      </c>
      <c r="AN14" s="28">
        <v>-353041.35</v>
      </c>
      <c r="AO14" s="58">
        <v>-353041.35</v>
      </c>
      <c r="AP14" s="28">
        <v>-353041.35</v>
      </c>
      <c r="AQ14" s="164">
        <v>-353041.35</v>
      </c>
      <c r="AR14" s="57">
        <v>-860326.91</v>
      </c>
      <c r="AS14" s="58">
        <v>-506149.83</v>
      </c>
      <c r="AT14" s="57">
        <v>-206155.77</v>
      </c>
      <c r="AU14" s="66">
        <v>-35387.120000000003</v>
      </c>
      <c r="AV14" s="57">
        <v>-48609.35</v>
      </c>
      <c r="AW14" s="58">
        <v>93289.47</v>
      </c>
      <c r="AX14" s="57">
        <v>-50945.55</v>
      </c>
      <c r="AY14" s="66">
        <v>-50127.89</v>
      </c>
      <c r="AZ14" s="57">
        <v>30446.400000000001</v>
      </c>
      <c r="BA14" s="58">
        <v>22790.95</v>
      </c>
      <c r="BB14" s="57">
        <v>22790.95</v>
      </c>
      <c r="BC14" s="258">
        <v>20442.89</v>
      </c>
      <c r="BD14" s="261">
        <f t="shared" si="23"/>
        <v>9484.8000000000011</v>
      </c>
      <c r="BE14" s="29">
        <f t="shared" si="17"/>
        <v>-1141.5400000000373</v>
      </c>
      <c r="BF14" s="28">
        <f t="shared" si="24"/>
        <v>84853.410000000033</v>
      </c>
      <c r="BG14" s="29">
        <f t="shared" si="18"/>
        <v>-610049.17000000004</v>
      </c>
      <c r="BH14" s="261">
        <f t="shared" si="25"/>
        <v>0</v>
      </c>
      <c r="BI14" s="29">
        <f t="shared" si="19"/>
        <v>0</v>
      </c>
      <c r="BJ14" s="28">
        <f t="shared" si="26"/>
        <v>0</v>
      </c>
      <c r="BK14" s="29">
        <f t="shared" si="20"/>
        <v>0</v>
      </c>
      <c r="BL14" s="261">
        <v>0</v>
      </c>
      <c r="BM14" s="226">
        <f t="shared" si="22"/>
        <v>0</v>
      </c>
      <c r="BN14" s="28">
        <f t="shared" si="27"/>
        <v>0</v>
      </c>
      <c r="BO14" s="29">
        <f t="shared" si="21"/>
        <v>0</v>
      </c>
      <c r="BP14" s="69">
        <v>-353041.35</v>
      </c>
      <c r="BQ14" s="29">
        <v>-354177.08</v>
      </c>
      <c r="BR14" s="28">
        <v>-299994.06000000006</v>
      </c>
      <c r="BS14" s="29">
        <v>-170768.65</v>
      </c>
      <c r="BT14" s="157">
        <v>-35387.120000000003</v>
      </c>
      <c r="BU14" s="29">
        <v>-141898.82</v>
      </c>
      <c r="BV14" s="28">
        <v>144235.02000000002</v>
      </c>
      <c r="BW14" s="29">
        <v>-817.66000000000349</v>
      </c>
      <c r="BX14" s="158">
        <v>-50127.89</v>
      </c>
      <c r="BY14" s="29">
        <v>7655.4500000000007</v>
      </c>
      <c r="BZ14" s="28">
        <v>0</v>
      </c>
      <c r="CA14" s="29">
        <v>2348.0600000000013</v>
      </c>
      <c r="CB14" s="28">
        <v>20442.89</v>
      </c>
    </row>
    <row r="15" spans="1:80" ht="27.9" customHeight="1">
      <c r="A15" s="22" t="s">
        <v>88</v>
      </c>
      <c r="B15" s="28">
        <v>-1537072.4</v>
      </c>
      <c r="C15" s="164">
        <v>-847893.64</v>
      </c>
      <c r="D15" s="28">
        <v>3209339.9599999995</v>
      </c>
      <c r="E15" s="488">
        <v>-1328828.6100000001</v>
      </c>
      <c r="F15" s="28">
        <v>-886688.61</v>
      </c>
      <c r="G15" s="164">
        <v>-346688.61</v>
      </c>
      <c r="H15" s="28">
        <v>5242569.9800000004</v>
      </c>
      <c r="I15" s="488">
        <v>2325537.66</v>
      </c>
      <c r="J15" s="28">
        <v>-514444.54</v>
      </c>
      <c r="K15" s="164">
        <v>-243489.67</v>
      </c>
      <c r="L15" s="28">
        <v>928514.96</v>
      </c>
      <c r="M15" s="488">
        <v>-270422.62</v>
      </c>
      <c r="N15" s="28">
        <v>-142497.23000000001</v>
      </c>
      <c r="O15" s="164">
        <v>-18098.5</v>
      </c>
      <c r="P15" s="28">
        <v>-238195.77</v>
      </c>
      <c r="Q15" s="488">
        <v>-369689.68</v>
      </c>
      <c r="R15" s="28">
        <v>-276270.95</v>
      </c>
      <c r="S15" s="164">
        <v>-169134.72</v>
      </c>
      <c r="T15" s="28">
        <v>501717.75</v>
      </c>
      <c r="U15" s="488">
        <v>-250000</v>
      </c>
      <c r="V15" s="28">
        <v>-250000</v>
      </c>
      <c r="W15" s="164">
        <v>0</v>
      </c>
      <c r="X15" s="28">
        <v>188956.23</v>
      </c>
      <c r="Y15" s="488">
        <v>-90472.94</v>
      </c>
      <c r="Z15" s="28">
        <v>-217173.74</v>
      </c>
      <c r="AA15" s="164">
        <v>72620.17</v>
      </c>
      <c r="AB15" s="30">
        <v>-440867.06999999983</v>
      </c>
      <c r="AC15" s="58">
        <v>-334621.34000000003</v>
      </c>
      <c r="AD15" s="28">
        <v>-291164.65999999963</v>
      </c>
      <c r="AE15" s="164">
        <v>-203873.22999999984</v>
      </c>
      <c r="AF15" s="28">
        <v>780542.7</v>
      </c>
      <c r="AG15" s="58">
        <v>78103.300000000061</v>
      </c>
      <c r="AH15" s="28">
        <v>12876.63000000005</v>
      </c>
      <c r="AI15" s="164">
        <v>60831.429999999964</v>
      </c>
      <c r="AJ15" s="28">
        <v>124137.82000000007</v>
      </c>
      <c r="AK15" s="58">
        <v>200551.40999999995</v>
      </c>
      <c r="AL15" s="28">
        <v>15369.67</v>
      </c>
      <c r="AM15" s="164">
        <v>65168.18</v>
      </c>
      <c r="AN15" s="28">
        <v>304600.89</v>
      </c>
      <c r="AO15" s="58">
        <v>35189.14</v>
      </c>
      <c r="AP15" s="28">
        <v>-31077.73</v>
      </c>
      <c r="AQ15" s="164">
        <v>-156434.42000000001</v>
      </c>
      <c r="AR15" s="57">
        <v>248947.56</v>
      </c>
      <c r="AS15" s="58">
        <v>-18427.919999999998</v>
      </c>
      <c r="AT15" s="57">
        <v>-485813.39</v>
      </c>
      <c r="AU15" s="66">
        <v>-58709.58</v>
      </c>
      <c r="AV15" s="57">
        <v>-770474.56</v>
      </c>
      <c r="AW15" s="58">
        <v>-417486.7</v>
      </c>
      <c r="AX15" s="57">
        <v>-600434.80000000005</v>
      </c>
      <c r="AY15" s="66">
        <v>-488466.38</v>
      </c>
      <c r="AZ15" s="57">
        <v>-722909.79</v>
      </c>
      <c r="BA15" s="58">
        <v>-298032.44</v>
      </c>
      <c r="BB15" s="57">
        <v>-456316.73</v>
      </c>
      <c r="BC15" s="258">
        <v>218899.77</v>
      </c>
      <c r="BD15" s="261">
        <f t="shared" si="23"/>
        <v>-203873.22999999984</v>
      </c>
      <c r="BE15" s="29">
        <f t="shared" si="17"/>
        <v>702439.39999999991</v>
      </c>
      <c r="BF15" s="28">
        <f t="shared" si="24"/>
        <v>65226.670000000013</v>
      </c>
      <c r="BG15" s="29">
        <f t="shared" si="18"/>
        <v>-47954.799999999916</v>
      </c>
      <c r="BH15" s="261">
        <f t="shared" si="25"/>
        <v>60831.429999999964</v>
      </c>
      <c r="BI15" s="29">
        <f t="shared" si="19"/>
        <v>-76413.58999999988</v>
      </c>
      <c r="BJ15" s="28">
        <f t="shared" si="26"/>
        <v>185181.73999999993</v>
      </c>
      <c r="BK15" s="29">
        <f t="shared" si="20"/>
        <v>-49798.51</v>
      </c>
      <c r="BL15" s="261">
        <v>65168.18</v>
      </c>
      <c r="BM15" s="226">
        <f t="shared" si="22"/>
        <v>269411.75</v>
      </c>
      <c r="BN15" s="28">
        <f t="shared" si="27"/>
        <v>66266.87</v>
      </c>
      <c r="BO15" s="29">
        <f t="shared" si="21"/>
        <v>125356.69000000002</v>
      </c>
      <c r="BP15" s="69">
        <v>-156434.42000000001</v>
      </c>
      <c r="BQ15" s="29">
        <v>267375.48</v>
      </c>
      <c r="BR15" s="28">
        <v>467385.47000000003</v>
      </c>
      <c r="BS15" s="29">
        <v>-427103.81</v>
      </c>
      <c r="BT15" s="157">
        <v>-58709.58</v>
      </c>
      <c r="BU15" s="29">
        <v>-352987.86000000004</v>
      </c>
      <c r="BV15" s="28">
        <v>182948.10000000003</v>
      </c>
      <c r="BW15" s="29">
        <v>-111968.42000000004</v>
      </c>
      <c r="BX15" s="158">
        <v>-488466.38</v>
      </c>
      <c r="BY15" s="29">
        <v>-424877.35000000003</v>
      </c>
      <c r="BZ15" s="28">
        <v>158284.28999999998</v>
      </c>
      <c r="CA15" s="29">
        <v>-675216.5</v>
      </c>
      <c r="CB15" s="28">
        <v>218899.77</v>
      </c>
    </row>
    <row r="16" spans="1:80" ht="27.9" customHeight="1">
      <c r="A16" s="22" t="s">
        <v>89</v>
      </c>
      <c r="B16" s="28">
        <v>7563750.1299999999</v>
      </c>
      <c r="C16" s="164">
        <v>-18666002.920000002</v>
      </c>
      <c r="D16" s="28">
        <v>-9453233.5299999993</v>
      </c>
      <c r="E16" s="488">
        <v>-11397869.470000001</v>
      </c>
      <c r="F16" s="28">
        <v>-13389403.380000001</v>
      </c>
      <c r="G16" s="164">
        <v>-8447884</v>
      </c>
      <c r="H16" s="28">
        <v>-11619103.26</v>
      </c>
      <c r="I16" s="488">
        <v>-14287257.169214105</v>
      </c>
      <c r="J16" s="28">
        <v>5671927.7400000002</v>
      </c>
      <c r="K16" s="164">
        <v>3840826.55</v>
      </c>
      <c r="L16" s="28">
        <v>-366969.33</v>
      </c>
      <c r="M16" s="488">
        <v>-4955724.92</v>
      </c>
      <c r="N16" s="28">
        <v>3254207.36</v>
      </c>
      <c r="O16" s="164">
        <v>-5233771.4000000004</v>
      </c>
      <c r="P16" s="28">
        <v>-18874245.899999999</v>
      </c>
      <c r="Q16" s="488">
        <v>-6374102.6200000001</v>
      </c>
      <c r="R16" s="28">
        <v>1909286.78</v>
      </c>
      <c r="S16" s="164">
        <v>1763810.5</v>
      </c>
      <c r="T16" s="28">
        <v>-1680656.32</v>
      </c>
      <c r="U16" s="488">
        <v>9855737.8300000001</v>
      </c>
      <c r="V16" s="28">
        <v>6922170.2199999997</v>
      </c>
      <c r="W16" s="164">
        <v>-420948.99</v>
      </c>
      <c r="X16" s="28">
        <v>-6750268.4699999997</v>
      </c>
      <c r="Y16" s="488">
        <v>2659117.4</v>
      </c>
      <c r="Z16" s="28">
        <v>9640889.5899999999</v>
      </c>
      <c r="AA16" s="164">
        <v>2790594.17</v>
      </c>
      <c r="AB16" s="30">
        <v>13048982.785524225</v>
      </c>
      <c r="AC16" s="58">
        <v>15108137.52</v>
      </c>
      <c r="AD16" s="28">
        <v>10830283.411075836</v>
      </c>
      <c r="AE16" s="164">
        <v>2761891.6395142232</v>
      </c>
      <c r="AF16" s="28">
        <v>-12762536.307875656</v>
      </c>
      <c r="AG16" s="58">
        <v>-7171357.4998111529</v>
      </c>
      <c r="AH16" s="28">
        <v>-5633288.6355076171</v>
      </c>
      <c r="AI16" s="164">
        <v>-3856518.8770467048</v>
      </c>
      <c r="AJ16" s="28">
        <v>8564477.6868798919</v>
      </c>
      <c r="AK16" s="58">
        <v>3718321.9524416365</v>
      </c>
      <c r="AL16" s="28">
        <v>9536287.2699999996</v>
      </c>
      <c r="AM16" s="164">
        <v>2442460.2200000002</v>
      </c>
      <c r="AN16" s="28">
        <v>1824556.26</v>
      </c>
      <c r="AO16" s="58">
        <v>5346931.8600000003</v>
      </c>
      <c r="AP16" s="28">
        <v>2829229.31</v>
      </c>
      <c r="AQ16" s="164">
        <v>-8651069.3399999999</v>
      </c>
      <c r="AR16" s="57">
        <v>-6496325.0800000001</v>
      </c>
      <c r="AS16" s="58">
        <v>-274409.40999999997</v>
      </c>
      <c r="AT16" s="57">
        <v>3466652.23</v>
      </c>
      <c r="AU16" s="66">
        <v>-1142965.47</v>
      </c>
      <c r="AV16" s="57">
        <v>-10197257.66</v>
      </c>
      <c r="AW16" s="58">
        <v>469843.61</v>
      </c>
      <c r="AX16" s="57">
        <v>3036883.5</v>
      </c>
      <c r="AY16" s="66">
        <v>-7974130.5</v>
      </c>
      <c r="AZ16" s="57">
        <v>-2570976.29</v>
      </c>
      <c r="BA16" s="58">
        <v>2898341.9</v>
      </c>
      <c r="BB16" s="57">
        <v>5268526.9000000004</v>
      </c>
      <c r="BC16" s="258">
        <v>-3536940.73</v>
      </c>
      <c r="BD16" s="261">
        <f t="shared" si="23"/>
        <v>2761891.6395142232</v>
      </c>
      <c r="BE16" s="29">
        <f t="shared" si="17"/>
        <v>-5591178.8080645027</v>
      </c>
      <c r="BF16" s="28">
        <f t="shared" si="24"/>
        <v>-1538068.8643035358</v>
      </c>
      <c r="BG16" s="29">
        <f t="shared" si="18"/>
        <v>-1776769.7584609124</v>
      </c>
      <c r="BH16" s="261">
        <f t="shared" si="25"/>
        <v>-3856518.8770467048</v>
      </c>
      <c r="BI16" s="29">
        <f t="shared" si="19"/>
        <v>4846155.7344382554</v>
      </c>
      <c r="BJ16" s="28">
        <f t="shared" si="26"/>
        <v>-5817965.3175583631</v>
      </c>
      <c r="BK16" s="29">
        <f t="shared" si="20"/>
        <v>7093827.0499999989</v>
      </c>
      <c r="BL16" s="261">
        <v>2442460.2200000002</v>
      </c>
      <c r="BM16" s="226">
        <f t="shared" si="22"/>
        <v>-3522375.6000000006</v>
      </c>
      <c r="BN16" s="28">
        <f t="shared" si="27"/>
        <v>2517702.5500000003</v>
      </c>
      <c r="BO16" s="29">
        <f t="shared" si="21"/>
        <v>11480298.65</v>
      </c>
      <c r="BP16" s="69">
        <v>-8651069.3399999999</v>
      </c>
      <c r="BQ16" s="29">
        <v>-6221915.6699999999</v>
      </c>
      <c r="BR16" s="28">
        <v>-3741061.64</v>
      </c>
      <c r="BS16" s="29">
        <v>4609617.7</v>
      </c>
      <c r="BT16" s="157">
        <v>-1142965.47</v>
      </c>
      <c r="BU16" s="29">
        <v>-10667101.27</v>
      </c>
      <c r="BV16" s="28">
        <v>-2567039.89</v>
      </c>
      <c r="BW16" s="29">
        <v>11011014</v>
      </c>
      <c r="BX16" s="158">
        <v>-7974130.5</v>
      </c>
      <c r="BY16" s="29">
        <v>-5469318.1899999995</v>
      </c>
      <c r="BZ16" s="28">
        <v>-2370185.0000000005</v>
      </c>
      <c r="CA16" s="29">
        <v>8805467.6300000008</v>
      </c>
      <c r="CB16" s="28">
        <v>-3536940.73</v>
      </c>
    </row>
    <row r="17" spans="1:80" ht="27.9" customHeight="1">
      <c r="A17" s="22" t="s">
        <v>90</v>
      </c>
      <c r="B17" s="28">
        <v>10837358.84</v>
      </c>
      <c r="C17" s="164">
        <v>-14269586.9</v>
      </c>
      <c r="D17" s="28">
        <v>-48766557.149999999</v>
      </c>
      <c r="E17" s="488">
        <v>-18118380.870000001</v>
      </c>
      <c r="F17" s="28">
        <f>-17014173.44-0.01</f>
        <v>-17014173.450000003</v>
      </c>
      <c r="G17" s="164">
        <v>-39514434.789999999</v>
      </c>
      <c r="H17" s="28">
        <v>-31943409.129999999</v>
      </c>
      <c r="I17" s="488">
        <v>-14039529.887280984</v>
      </c>
      <c r="J17" s="28">
        <v>-23471333.789999999</v>
      </c>
      <c r="K17" s="164">
        <v>-38224696.439999998</v>
      </c>
      <c r="L17" s="28">
        <v>18098239.780000001</v>
      </c>
      <c r="M17" s="488">
        <v>-1475589.25</v>
      </c>
      <c r="N17" s="28">
        <v>-19410526.219999999</v>
      </c>
      <c r="O17" s="164">
        <v>-32475276.059999999</v>
      </c>
      <c r="P17" s="28">
        <v>950270.52</v>
      </c>
      <c r="Q17" s="488">
        <v>5612529.4199999999</v>
      </c>
      <c r="R17" s="28">
        <v>-1404912.37</v>
      </c>
      <c r="S17" s="164">
        <v>-23864375.84</v>
      </c>
      <c r="T17" s="28">
        <v>1566105.3</v>
      </c>
      <c r="U17" s="488">
        <v>6850428.8799999999</v>
      </c>
      <c r="V17" s="28">
        <v>-9301418.6799999997</v>
      </c>
      <c r="W17" s="164">
        <v>-27642144.690000001</v>
      </c>
      <c r="X17" s="28">
        <v>-19917167.670000002</v>
      </c>
      <c r="Y17" s="488">
        <v>-11316737.76</v>
      </c>
      <c r="Z17" s="28">
        <v>-29986246.359999999</v>
      </c>
      <c r="AA17" s="164">
        <v>-19738148.07</v>
      </c>
      <c r="AB17" s="30">
        <v>-12387251.364283007</v>
      </c>
      <c r="AC17" s="58">
        <f>-15211196.88--0.01</f>
        <v>-15211196.870000001</v>
      </c>
      <c r="AD17" s="28">
        <v>-25235027.149999999</v>
      </c>
      <c r="AE17" s="164">
        <v>-31281071.640000001</v>
      </c>
      <c r="AF17" s="28">
        <v>-3650928.6900000013</v>
      </c>
      <c r="AG17" s="58">
        <v>-10344636.569999998</v>
      </c>
      <c r="AH17" s="28">
        <v>-16902878</v>
      </c>
      <c r="AI17" s="164">
        <v>-23898594.719999999</v>
      </c>
      <c r="AJ17" s="28">
        <v>-11116423.57</v>
      </c>
      <c r="AK17" s="58">
        <v>-15734311.949999994</v>
      </c>
      <c r="AL17" s="28">
        <v>-35300729.109999999</v>
      </c>
      <c r="AM17" s="164">
        <v>-35568049.939999998</v>
      </c>
      <c r="AN17" s="28">
        <v>-351915.83</v>
      </c>
      <c r="AO17" s="58">
        <v>-17242971.390000001</v>
      </c>
      <c r="AP17" s="28">
        <v>-30248641.170000002</v>
      </c>
      <c r="AQ17" s="164">
        <v>-32448284.640000001</v>
      </c>
      <c r="AR17" s="57">
        <v>-11161704.789999999</v>
      </c>
      <c r="AS17" s="58">
        <v>-19780399.050000001</v>
      </c>
      <c r="AT17" s="57">
        <v>-31765662.210000001</v>
      </c>
      <c r="AU17" s="66">
        <v>-33810521.850000001</v>
      </c>
      <c r="AV17" s="57">
        <v>168334.28</v>
      </c>
      <c r="AW17" s="58">
        <v>-3490358.23</v>
      </c>
      <c r="AX17" s="57">
        <v>-17785432.170000002</v>
      </c>
      <c r="AY17" s="66">
        <v>-25950078.899999999</v>
      </c>
      <c r="AZ17" s="57">
        <v>-5182683.13</v>
      </c>
      <c r="BA17" s="58">
        <v>-5354825.88</v>
      </c>
      <c r="BB17" s="57">
        <v>-22339407.440000001</v>
      </c>
      <c r="BC17" s="258">
        <v>-17562976.449999999</v>
      </c>
      <c r="BD17" s="261">
        <f t="shared" si="23"/>
        <v>-31281071.640000001</v>
      </c>
      <c r="BE17" s="29">
        <f t="shared" si="17"/>
        <v>6693707.8799999971</v>
      </c>
      <c r="BF17" s="28">
        <f t="shared" si="24"/>
        <v>6558241.4300000016</v>
      </c>
      <c r="BG17" s="29">
        <f t="shared" si="18"/>
        <v>6995716.7199999988</v>
      </c>
      <c r="BH17" s="261">
        <f t="shared" si="25"/>
        <v>-23898594.719999999</v>
      </c>
      <c r="BI17" s="29">
        <f t="shared" si="19"/>
        <v>4617888.3799999934</v>
      </c>
      <c r="BJ17" s="28">
        <f t="shared" si="26"/>
        <v>19566417.160000004</v>
      </c>
      <c r="BK17" s="29">
        <f t="shared" si="20"/>
        <v>267320.82999999821</v>
      </c>
      <c r="BL17" s="261">
        <v>-35568049.939999998</v>
      </c>
      <c r="BM17" s="226">
        <f t="shared" si="22"/>
        <v>16891055.560000002</v>
      </c>
      <c r="BN17" s="28">
        <f t="shared" si="27"/>
        <v>13005669.780000001</v>
      </c>
      <c r="BO17" s="29">
        <f t="shared" si="21"/>
        <v>2199643.4699999988</v>
      </c>
      <c r="BP17" s="69">
        <v>-32448284.640000001</v>
      </c>
      <c r="BQ17" s="29">
        <v>8618694.2600000016</v>
      </c>
      <c r="BR17" s="28">
        <v>11985263.16</v>
      </c>
      <c r="BS17" s="29">
        <v>2044859.6400000006</v>
      </c>
      <c r="BT17" s="157">
        <v>-33810521.850000001</v>
      </c>
      <c r="BU17" s="29">
        <v>3658692.51</v>
      </c>
      <c r="BV17" s="28">
        <v>14295073.940000001</v>
      </c>
      <c r="BW17" s="29">
        <v>8164646.7299999967</v>
      </c>
      <c r="BX17" s="158">
        <v>-25950078.899999999</v>
      </c>
      <c r="BY17" s="29">
        <v>172142.75</v>
      </c>
      <c r="BZ17" s="28">
        <v>16984581.560000002</v>
      </c>
      <c r="CA17" s="29">
        <v>-4776430.9900000021</v>
      </c>
      <c r="CB17" s="28">
        <v>-17562976.449999999</v>
      </c>
    </row>
    <row r="18" spans="1:80" ht="27.9" customHeight="1">
      <c r="A18" s="22" t="s">
        <v>91</v>
      </c>
      <c r="B18" s="28">
        <v>-145617538.34999999</v>
      </c>
      <c r="C18" s="164">
        <v>-38031551.149999999</v>
      </c>
      <c r="D18" s="28">
        <v>101248631.72</v>
      </c>
      <c r="E18" s="488">
        <v>-42947598.43</v>
      </c>
      <c r="F18" s="28">
        <v>-4996056.09</v>
      </c>
      <c r="G18" s="164">
        <v>625121.67000000004</v>
      </c>
      <c r="H18" s="28">
        <v>98380478.939999998</v>
      </c>
      <c r="I18" s="488">
        <v>51361220.259999998</v>
      </c>
      <c r="J18" s="28">
        <v>41611097.049999997</v>
      </c>
      <c r="K18" s="164">
        <v>16494146.050000001</v>
      </c>
      <c r="L18" s="28">
        <v>-38387528.840000004</v>
      </c>
      <c r="M18" s="488">
        <v>-35945553.75</v>
      </c>
      <c r="N18" s="28">
        <v>-24112622.960000001</v>
      </c>
      <c r="O18" s="164">
        <v>5047612.09</v>
      </c>
      <c r="P18" s="28">
        <v>15253638.210000001</v>
      </c>
      <c r="Q18" s="488">
        <v>-12621742.060000001</v>
      </c>
      <c r="R18" s="28">
        <v>-15712387.01</v>
      </c>
      <c r="S18" s="164">
        <v>3469255.33</v>
      </c>
      <c r="T18" s="28">
        <v>-23669664.280000001</v>
      </c>
      <c r="U18" s="488">
        <v>-34702613.159999996</v>
      </c>
      <c r="V18" s="28">
        <v>-19827918.469999999</v>
      </c>
      <c r="W18" s="164">
        <v>7299576.4400000004</v>
      </c>
      <c r="X18" s="28">
        <v>15449377.43</v>
      </c>
      <c r="Y18" s="488">
        <v>-23624870.800000001</v>
      </c>
      <c r="Z18" s="28">
        <v>-12639371.6</v>
      </c>
      <c r="AA18" s="164">
        <v>351725.45</v>
      </c>
      <c r="AB18" s="30">
        <v>-1979769.6099999978</v>
      </c>
      <c r="AC18" s="58">
        <v>-19427555.890000001</v>
      </c>
      <c r="AD18" s="28">
        <v>-5614962.5499999998</v>
      </c>
      <c r="AE18" s="164">
        <v>3335990.8799999952</v>
      </c>
      <c r="AF18" s="28">
        <v>5760382.7900000056</v>
      </c>
      <c r="AG18" s="58">
        <v>-6458659.9799999949</v>
      </c>
      <c r="AH18" s="28">
        <v>6436484.3600000013</v>
      </c>
      <c r="AI18" s="164">
        <v>8942315.540000001</v>
      </c>
      <c r="AJ18" s="28">
        <v>-97632.790000002191</v>
      </c>
      <c r="AK18" s="58">
        <v>-3969179.800000004</v>
      </c>
      <c r="AL18" s="28">
        <v>10397696.560000001</v>
      </c>
      <c r="AM18" s="164">
        <v>12832297.51</v>
      </c>
      <c r="AN18" s="28">
        <v>-4142769.95</v>
      </c>
      <c r="AO18" s="58">
        <v>-5414516.7199999997</v>
      </c>
      <c r="AP18" s="28">
        <v>1692590.29</v>
      </c>
      <c r="AQ18" s="164">
        <v>22423105.09</v>
      </c>
      <c r="AR18" s="57">
        <v>15407875.939999999</v>
      </c>
      <c r="AS18" s="58">
        <v>6967877.9900000002</v>
      </c>
      <c r="AT18" s="57">
        <v>15716857.33</v>
      </c>
      <c r="AU18" s="66">
        <v>23984697.82</v>
      </c>
      <c r="AV18" s="57">
        <v>4454849.71</v>
      </c>
      <c r="AW18" s="58">
        <v>-2889105.21</v>
      </c>
      <c r="AX18" s="57">
        <v>8408956.2100000009</v>
      </c>
      <c r="AY18" s="66">
        <v>22627225.739999998</v>
      </c>
      <c r="AZ18" s="57">
        <v>-3372612.86</v>
      </c>
      <c r="BA18" s="58">
        <v>-5228088.12</v>
      </c>
      <c r="BB18" s="57">
        <v>9911520.7799999993</v>
      </c>
      <c r="BC18" s="258">
        <v>8587261.3699999992</v>
      </c>
      <c r="BD18" s="261">
        <f t="shared" si="23"/>
        <v>3335990.8799999952</v>
      </c>
      <c r="BE18" s="29">
        <f t="shared" si="17"/>
        <v>12219042.77</v>
      </c>
      <c r="BF18" s="28">
        <f t="shared" si="24"/>
        <v>-12895144.339999996</v>
      </c>
      <c r="BG18" s="29">
        <f t="shared" si="18"/>
        <v>-2505831.1799999997</v>
      </c>
      <c r="BH18" s="261">
        <f t="shared" si="25"/>
        <v>8942315.540000001</v>
      </c>
      <c r="BI18" s="29">
        <f t="shared" si="19"/>
        <v>3871547.0100000016</v>
      </c>
      <c r="BJ18" s="28">
        <f t="shared" si="26"/>
        <v>-14366876.360000005</v>
      </c>
      <c r="BK18" s="29">
        <f t="shared" si="20"/>
        <v>-2434600.9499999993</v>
      </c>
      <c r="BL18" s="261">
        <v>12832297.51</v>
      </c>
      <c r="BM18" s="226">
        <f t="shared" si="22"/>
        <v>1271746.7699999996</v>
      </c>
      <c r="BN18" s="28">
        <f t="shared" si="27"/>
        <v>-7107107.0099999998</v>
      </c>
      <c r="BO18" s="29">
        <f t="shared" si="21"/>
        <v>-20730514.800000001</v>
      </c>
      <c r="BP18" s="69">
        <v>22423105.09</v>
      </c>
      <c r="BQ18" s="29">
        <v>8439997.9499999993</v>
      </c>
      <c r="BR18" s="28">
        <v>-8748979.3399999999</v>
      </c>
      <c r="BS18" s="29">
        <v>-8267840.4900000002</v>
      </c>
      <c r="BT18" s="157">
        <v>23984697.82</v>
      </c>
      <c r="BU18" s="29">
        <v>7343954.9199999999</v>
      </c>
      <c r="BV18" s="28">
        <v>-11298061.420000002</v>
      </c>
      <c r="BW18" s="29">
        <v>-14218269.529999997</v>
      </c>
      <c r="BX18" s="158">
        <v>22627225.739999998</v>
      </c>
      <c r="BY18" s="29">
        <v>1855475.2600000002</v>
      </c>
      <c r="BZ18" s="28">
        <v>-15139608.899999999</v>
      </c>
      <c r="CA18" s="29">
        <v>1324259.4100000001</v>
      </c>
      <c r="CB18" s="28">
        <v>8587261.3699999992</v>
      </c>
    </row>
    <row r="19" spans="1:80" ht="27.6" customHeight="1">
      <c r="A19" s="22" t="s">
        <v>127</v>
      </c>
      <c r="B19" s="28">
        <v>-13873340</v>
      </c>
      <c r="C19" s="164">
        <v>-12589289</v>
      </c>
      <c r="D19" s="28">
        <v>-15065691</v>
      </c>
      <c r="E19" s="488">
        <v>-9076180</v>
      </c>
      <c r="F19" s="28">
        <v>-6251611</v>
      </c>
      <c r="G19" s="164">
        <v>-1100035</v>
      </c>
      <c r="H19" s="28">
        <v>-5753003.5800000001</v>
      </c>
      <c r="I19" s="488">
        <v>-2506629.58</v>
      </c>
      <c r="J19" s="28">
        <v>-3058058.58</v>
      </c>
      <c r="K19" s="164">
        <v>-616196.57999999996</v>
      </c>
      <c r="L19" s="28">
        <v>-6536003.3300000001</v>
      </c>
      <c r="M19" s="488">
        <f>-5749559.59</f>
        <v>-5749559.5899999999</v>
      </c>
      <c r="N19" s="28">
        <v>-4580776.8499999996</v>
      </c>
      <c r="O19" s="164">
        <f>-1543693.07+0.01</f>
        <v>-1543693.06</v>
      </c>
      <c r="P19" s="28">
        <v>-9702028.0099999998</v>
      </c>
      <c r="Q19" s="488">
        <v>-8580975.2799999993</v>
      </c>
      <c r="R19" s="28">
        <v>-7493398.5499999998</v>
      </c>
      <c r="S19" s="164">
        <v>-1533233.82</v>
      </c>
      <c r="T19" s="28">
        <v>-3589464</v>
      </c>
      <c r="U19" s="488">
        <v>-3396799</v>
      </c>
      <c r="V19" s="28">
        <v>-3094534</v>
      </c>
      <c r="W19" s="164">
        <v>-326216</v>
      </c>
      <c r="X19" s="28">
        <v>-2628958</v>
      </c>
      <c r="Y19" s="488">
        <v>-2154066</v>
      </c>
      <c r="Z19" s="28">
        <v>-910412</v>
      </c>
      <c r="AA19" s="164">
        <v>-437447</v>
      </c>
      <c r="AB19" s="30">
        <v>-1144722</v>
      </c>
      <c r="AC19" s="58">
        <v>-890085</v>
      </c>
      <c r="AD19" s="28">
        <v>-1144790</v>
      </c>
      <c r="AE19" s="164">
        <v>-313801</v>
      </c>
      <c r="AF19" s="28">
        <v>-1140386</v>
      </c>
      <c r="AG19" s="58">
        <v>-815279</v>
      </c>
      <c r="AH19" s="28">
        <v>-716592</v>
      </c>
      <c r="AI19" s="164">
        <v>0</v>
      </c>
      <c r="AJ19" s="28">
        <v>-1773725.67</v>
      </c>
      <c r="AK19" s="58">
        <v>-1374031.67</v>
      </c>
      <c r="AL19" s="28">
        <v>-990184.67</v>
      </c>
      <c r="AM19" s="164">
        <v>-873390.67</v>
      </c>
      <c r="AN19" s="28">
        <v>-903030.33</v>
      </c>
      <c r="AO19" s="58">
        <v>-1689427</v>
      </c>
      <c r="AP19" s="28">
        <v>-1489569</v>
      </c>
      <c r="AQ19" s="164">
        <v>-1137656</v>
      </c>
      <c r="AR19" s="57">
        <v>-1085083</v>
      </c>
      <c r="AS19" s="58">
        <v>-472042.5</v>
      </c>
      <c r="AT19" s="57">
        <v>-1073995</v>
      </c>
      <c r="AU19" s="66">
        <v>-861084</v>
      </c>
      <c r="AV19" s="57">
        <v>-1090631.6299999999</v>
      </c>
      <c r="AW19" s="58">
        <v>-1120491.52</v>
      </c>
      <c r="AX19" s="57">
        <v>-73837</v>
      </c>
      <c r="AY19" s="66">
        <v>-674171</v>
      </c>
      <c r="AZ19" s="57">
        <v>-1291814</v>
      </c>
      <c r="BA19" s="58">
        <v>-1934888.18</v>
      </c>
      <c r="BB19" s="57">
        <v>-1844741.51</v>
      </c>
      <c r="BC19" s="258">
        <v>-831667.29</v>
      </c>
      <c r="BD19" s="261">
        <f t="shared" si="23"/>
        <v>-313801</v>
      </c>
      <c r="BE19" s="29">
        <f t="shared" si="17"/>
        <v>-325107</v>
      </c>
      <c r="BF19" s="28">
        <f t="shared" si="24"/>
        <v>-98687</v>
      </c>
      <c r="BG19" s="29">
        <f t="shared" si="18"/>
        <v>-716592</v>
      </c>
      <c r="BH19" s="261">
        <f t="shared" si="25"/>
        <v>0</v>
      </c>
      <c r="BI19" s="29">
        <f t="shared" si="19"/>
        <v>-399694</v>
      </c>
      <c r="BJ19" s="28">
        <f t="shared" si="26"/>
        <v>-383846.99999999988</v>
      </c>
      <c r="BK19" s="29">
        <f t="shared" si="20"/>
        <v>-116794</v>
      </c>
      <c r="BL19" s="261">
        <v>-873390.67</v>
      </c>
      <c r="BM19" s="226">
        <f t="shared" si="22"/>
        <v>786396.67</v>
      </c>
      <c r="BN19" s="28">
        <f t="shared" si="27"/>
        <v>-199858</v>
      </c>
      <c r="BO19" s="29">
        <f t="shared" si="21"/>
        <v>-351913</v>
      </c>
      <c r="BP19" s="69">
        <v>-1137656</v>
      </c>
      <c r="BQ19" s="29">
        <v>-613040.5</v>
      </c>
      <c r="BR19" s="28">
        <v>601952.5</v>
      </c>
      <c r="BS19" s="29">
        <v>-212911</v>
      </c>
      <c r="BT19" s="157">
        <v>-861084</v>
      </c>
      <c r="BU19" s="29">
        <v>29859.89000000013</v>
      </c>
      <c r="BV19" s="28">
        <v>-1046654.52</v>
      </c>
      <c r="BW19" s="29">
        <v>600334</v>
      </c>
      <c r="BX19" s="158">
        <v>-674171</v>
      </c>
      <c r="BY19" s="29">
        <v>643074.17999999993</v>
      </c>
      <c r="BZ19" s="28">
        <v>-90146.669999999925</v>
      </c>
      <c r="CA19" s="29">
        <v>-1013074.22</v>
      </c>
      <c r="CB19" s="28">
        <v>-831667.29</v>
      </c>
    </row>
    <row r="20" spans="1:80" ht="27.9" customHeight="1">
      <c r="A20" s="22" t="s">
        <v>128</v>
      </c>
      <c r="B20" s="28">
        <v>0</v>
      </c>
      <c r="C20" s="164">
        <v>0</v>
      </c>
      <c r="D20" s="28">
        <v>0</v>
      </c>
      <c r="E20" s="488">
        <v>0</v>
      </c>
      <c r="F20" s="28">
        <v>0</v>
      </c>
      <c r="G20" s="164">
        <v>0</v>
      </c>
      <c r="H20" s="28">
        <v>0</v>
      </c>
      <c r="I20" s="488">
        <v>0</v>
      </c>
      <c r="J20" s="28">
        <v>0</v>
      </c>
      <c r="K20" s="164">
        <v>0</v>
      </c>
      <c r="L20" s="28">
        <v>0</v>
      </c>
      <c r="M20" s="488">
        <v>0</v>
      </c>
      <c r="N20" s="28">
        <v>0</v>
      </c>
      <c r="O20" s="164">
        <v>0</v>
      </c>
      <c r="P20" s="28">
        <v>-311281</v>
      </c>
      <c r="Q20" s="488">
        <v>-311281</v>
      </c>
      <c r="R20" s="28">
        <v>-311281</v>
      </c>
      <c r="S20" s="164">
        <v>0</v>
      </c>
      <c r="T20" s="28">
        <v>0</v>
      </c>
      <c r="U20" s="488">
        <v>0</v>
      </c>
      <c r="V20" s="28">
        <v>0</v>
      </c>
      <c r="W20" s="164">
        <v>0</v>
      </c>
      <c r="X20" s="472">
        <v>-102600</v>
      </c>
      <c r="Y20" s="488">
        <v>0</v>
      </c>
      <c r="Z20" s="472">
        <v>0</v>
      </c>
      <c r="AA20" s="164">
        <v>0</v>
      </c>
      <c r="AB20" s="30">
        <v>0</v>
      </c>
      <c r="AC20" s="58">
        <v>0</v>
      </c>
      <c r="AD20" s="472">
        <v>0</v>
      </c>
      <c r="AE20" s="164">
        <v>0</v>
      </c>
      <c r="AF20" s="28">
        <v>-293187.30999999959</v>
      </c>
      <c r="AG20" s="58">
        <v>-187285</v>
      </c>
      <c r="AH20" s="28">
        <v>-187285</v>
      </c>
      <c r="AI20" s="164">
        <v>-295407</v>
      </c>
      <c r="AJ20" s="28">
        <v>0</v>
      </c>
      <c r="AK20" s="58">
        <v>0</v>
      </c>
      <c r="AL20" s="28">
        <v>0</v>
      </c>
      <c r="AM20" s="164">
        <v>0</v>
      </c>
      <c r="AN20" s="28">
        <v>-730483.42</v>
      </c>
      <c r="AO20" s="58">
        <v>-448000</v>
      </c>
      <c r="AP20" s="28">
        <v>-448000</v>
      </c>
      <c r="AQ20" s="164">
        <v>0</v>
      </c>
      <c r="AR20" s="57">
        <v>102600</v>
      </c>
      <c r="AS20" s="58">
        <v>102600</v>
      </c>
      <c r="AT20" s="57">
        <v>102600</v>
      </c>
      <c r="AU20" s="66">
        <v>0</v>
      </c>
      <c r="AV20" s="57">
        <v>213000</v>
      </c>
      <c r="AW20" s="58">
        <v>213000</v>
      </c>
      <c r="AX20" s="57">
        <v>213000</v>
      </c>
      <c r="AY20" s="66">
        <v>0</v>
      </c>
      <c r="AZ20" s="57">
        <v>0</v>
      </c>
      <c r="BA20" s="58">
        <v>0</v>
      </c>
      <c r="BB20" s="57">
        <v>0</v>
      </c>
      <c r="BC20" s="258">
        <v>0</v>
      </c>
      <c r="BD20" s="261">
        <f t="shared" si="23"/>
        <v>0</v>
      </c>
      <c r="BE20" s="29">
        <f t="shared" si="17"/>
        <v>-105902.30999999959</v>
      </c>
      <c r="BF20" s="28">
        <f t="shared" si="24"/>
        <v>0</v>
      </c>
      <c r="BG20" s="29">
        <f t="shared" si="18"/>
        <v>108122</v>
      </c>
      <c r="BH20" s="261">
        <f t="shared" si="25"/>
        <v>-295407</v>
      </c>
      <c r="BI20" s="29">
        <f t="shared" si="19"/>
        <v>0</v>
      </c>
      <c r="BJ20" s="28">
        <f t="shared" si="26"/>
        <v>0</v>
      </c>
      <c r="BK20" s="29">
        <f t="shared" si="20"/>
        <v>0</v>
      </c>
      <c r="BL20" s="261">
        <v>0</v>
      </c>
      <c r="BM20" s="226">
        <f t="shared" si="22"/>
        <v>-282483.42000000004</v>
      </c>
      <c r="BN20" s="28">
        <f t="shared" si="27"/>
        <v>0</v>
      </c>
      <c r="BO20" s="29">
        <f t="shared" si="21"/>
        <v>-448000</v>
      </c>
      <c r="BP20" s="69">
        <v>0</v>
      </c>
      <c r="BQ20" s="29">
        <v>0</v>
      </c>
      <c r="BR20" s="28">
        <v>0</v>
      </c>
      <c r="BS20" s="29">
        <v>102600</v>
      </c>
      <c r="BT20" s="157">
        <v>0</v>
      </c>
      <c r="BU20" s="29">
        <v>0</v>
      </c>
      <c r="BV20" s="28">
        <v>0</v>
      </c>
      <c r="BW20" s="29">
        <v>213000</v>
      </c>
      <c r="BX20" s="158">
        <v>0</v>
      </c>
      <c r="BY20" s="29">
        <v>0</v>
      </c>
      <c r="BZ20" s="28">
        <v>0</v>
      </c>
      <c r="CA20" s="29">
        <v>0</v>
      </c>
      <c r="CB20" s="28">
        <v>0</v>
      </c>
    </row>
    <row r="21" spans="1:80" ht="27.9" customHeight="1">
      <c r="A21" s="22" t="s">
        <v>234</v>
      </c>
      <c r="B21" s="28"/>
      <c r="C21" s="164">
        <v>0</v>
      </c>
      <c r="D21" s="28">
        <v>0</v>
      </c>
      <c r="E21" s="488">
        <v>0</v>
      </c>
      <c r="F21" s="28"/>
      <c r="G21" s="164"/>
      <c r="H21" s="28">
        <v>0</v>
      </c>
      <c r="I21" s="488">
        <v>0</v>
      </c>
      <c r="J21" s="28"/>
      <c r="K21" s="164"/>
      <c r="L21" s="28">
        <v>0</v>
      </c>
      <c r="M21" s="488">
        <v>0</v>
      </c>
      <c r="N21" s="28"/>
      <c r="O21" s="164"/>
      <c r="P21" s="28">
        <v>0</v>
      </c>
      <c r="Q21" s="488">
        <v>0</v>
      </c>
      <c r="R21" s="28"/>
      <c r="S21" s="164"/>
      <c r="T21" s="28">
        <v>-240347.77</v>
      </c>
      <c r="U21" s="488">
        <v>-71342.69</v>
      </c>
      <c r="V21" s="28"/>
      <c r="W21" s="164"/>
      <c r="X21" s="472"/>
      <c r="Y21" s="488"/>
      <c r="Z21" s="472"/>
      <c r="AA21" s="164"/>
      <c r="AB21" s="30"/>
      <c r="AC21" s="58"/>
      <c r="AD21" s="472"/>
      <c r="AE21" s="164"/>
      <c r="AF21" s="28"/>
      <c r="AG21" s="58"/>
      <c r="AH21" s="28"/>
      <c r="AI21" s="164"/>
      <c r="AJ21" s="28"/>
      <c r="AK21" s="58"/>
      <c r="AL21" s="28"/>
      <c r="AM21" s="164"/>
      <c r="AN21" s="28"/>
      <c r="AO21" s="58"/>
      <c r="AP21" s="28"/>
      <c r="AQ21" s="164"/>
      <c r="AR21" s="57"/>
      <c r="AS21" s="58"/>
      <c r="AT21" s="57"/>
      <c r="AU21" s="66"/>
      <c r="AV21" s="57"/>
      <c r="AW21" s="58"/>
      <c r="AX21" s="57"/>
      <c r="AY21" s="66"/>
      <c r="AZ21" s="57"/>
      <c r="BA21" s="58"/>
      <c r="BB21" s="57"/>
      <c r="BC21" s="258"/>
      <c r="BD21" s="261"/>
      <c r="BE21" s="29"/>
      <c r="BF21" s="28"/>
      <c r="BG21" s="29"/>
      <c r="BH21" s="261"/>
      <c r="BI21" s="29"/>
      <c r="BJ21" s="28"/>
      <c r="BK21" s="29"/>
      <c r="BL21" s="261"/>
      <c r="BM21" s="226"/>
      <c r="BN21" s="28"/>
      <c r="BO21" s="29"/>
      <c r="BP21" s="69"/>
      <c r="BQ21" s="29"/>
      <c r="BR21" s="28"/>
      <c r="BS21" s="29"/>
      <c r="BT21" s="157"/>
      <c r="BU21" s="29"/>
      <c r="BV21" s="28"/>
      <c r="BW21" s="29"/>
      <c r="BX21" s="158"/>
      <c r="BY21" s="29"/>
      <c r="BZ21" s="28"/>
      <c r="CA21" s="29"/>
      <c r="CB21" s="28"/>
    </row>
    <row r="22" spans="1:80" ht="27.9" customHeight="1">
      <c r="A22" s="22" t="s">
        <v>166</v>
      </c>
      <c r="B22" s="28">
        <v>0</v>
      </c>
      <c r="C22" s="164">
        <v>0</v>
      </c>
      <c r="D22" s="28">
        <v>0</v>
      </c>
      <c r="E22" s="488">
        <v>0</v>
      </c>
      <c r="F22" s="28">
        <v>0</v>
      </c>
      <c r="G22" s="164">
        <v>0</v>
      </c>
      <c r="H22" s="28">
        <v>-347248.94</v>
      </c>
      <c r="I22" s="488">
        <v>0</v>
      </c>
      <c r="J22" s="28">
        <v>0</v>
      </c>
      <c r="K22" s="164">
        <v>0</v>
      </c>
      <c r="L22" s="28">
        <v>0</v>
      </c>
      <c r="M22" s="488">
        <v>0</v>
      </c>
      <c r="N22" s="28">
        <v>0</v>
      </c>
      <c r="O22" s="164">
        <v>0</v>
      </c>
      <c r="P22" s="28">
        <v>0</v>
      </c>
      <c r="Q22" s="488">
        <v>0</v>
      </c>
      <c r="R22" s="28">
        <v>0</v>
      </c>
      <c r="S22" s="164">
        <v>0</v>
      </c>
      <c r="T22" s="28">
        <v>0</v>
      </c>
      <c r="U22" s="488">
        <v>0</v>
      </c>
      <c r="V22" s="28">
        <v>0</v>
      </c>
      <c r="W22" s="164">
        <v>0</v>
      </c>
      <c r="X22" s="28">
        <v>0</v>
      </c>
      <c r="Y22" s="488">
        <v>0</v>
      </c>
      <c r="Z22" s="28">
        <v>0</v>
      </c>
      <c r="AA22" s="164">
        <v>0</v>
      </c>
      <c r="AB22" s="30">
        <v>0</v>
      </c>
      <c r="AC22" s="58">
        <v>0</v>
      </c>
      <c r="AD22" s="28">
        <v>0</v>
      </c>
      <c r="AE22" s="164">
        <v>0</v>
      </c>
      <c r="AF22" s="28"/>
      <c r="AG22" s="58"/>
      <c r="AH22" s="28">
        <v>0</v>
      </c>
      <c r="AI22" s="164">
        <v>0</v>
      </c>
      <c r="AJ22" s="28">
        <v>0</v>
      </c>
      <c r="AK22" s="58">
        <v>0</v>
      </c>
      <c r="AL22" s="28">
        <v>0</v>
      </c>
      <c r="AM22" s="164">
        <v>0</v>
      </c>
      <c r="AN22" s="28">
        <v>0</v>
      </c>
      <c r="AO22" s="58">
        <v>2551802.81</v>
      </c>
      <c r="AP22" s="28"/>
      <c r="AQ22" s="164"/>
      <c r="AR22" s="57">
        <v>-2551802.81</v>
      </c>
      <c r="AS22" s="58"/>
      <c r="AT22" s="57"/>
      <c r="AU22" s="66">
        <v>0</v>
      </c>
      <c r="AV22" s="57">
        <v>0</v>
      </c>
      <c r="AW22" s="58"/>
      <c r="AX22" s="57"/>
      <c r="AY22" s="66"/>
      <c r="AZ22" s="57"/>
      <c r="BA22" s="58"/>
      <c r="BB22" s="57"/>
      <c r="BC22" s="258"/>
      <c r="BD22" s="261">
        <f t="shared" si="23"/>
        <v>0</v>
      </c>
      <c r="BE22" s="29">
        <f t="shared" si="17"/>
        <v>0</v>
      </c>
      <c r="BF22" s="28">
        <f t="shared" si="24"/>
        <v>0</v>
      </c>
      <c r="BG22" s="29">
        <f t="shared" si="18"/>
        <v>0</v>
      </c>
      <c r="BH22" s="261">
        <f t="shared" si="25"/>
        <v>0</v>
      </c>
      <c r="BI22" s="29">
        <f t="shared" si="19"/>
        <v>0</v>
      </c>
      <c r="BJ22" s="28">
        <f t="shared" si="26"/>
        <v>0</v>
      </c>
      <c r="BK22" s="29">
        <f t="shared" si="20"/>
        <v>0</v>
      </c>
      <c r="BL22" s="261">
        <v>0</v>
      </c>
      <c r="BM22" s="226">
        <f t="shared" si="22"/>
        <v>-2551802.81</v>
      </c>
      <c r="BN22" s="28">
        <f t="shared" si="27"/>
        <v>2551802.81</v>
      </c>
      <c r="BO22" s="29">
        <f t="shared" si="21"/>
        <v>0</v>
      </c>
      <c r="BP22" s="69"/>
      <c r="BQ22" s="29">
        <v>-2551802.81</v>
      </c>
      <c r="BR22" s="28">
        <v>0</v>
      </c>
      <c r="BS22" s="29">
        <v>0</v>
      </c>
      <c r="BT22" s="157">
        <v>0</v>
      </c>
      <c r="BU22" s="29">
        <v>0</v>
      </c>
      <c r="BV22" s="28">
        <v>0</v>
      </c>
      <c r="BW22" s="29">
        <v>0</v>
      </c>
      <c r="BX22" s="158"/>
      <c r="BY22" s="29">
        <v>0</v>
      </c>
      <c r="BZ22" s="28">
        <v>0</v>
      </c>
      <c r="CA22" s="29">
        <v>0</v>
      </c>
      <c r="CB22" s="28"/>
    </row>
    <row r="23" spans="1:80" ht="27.9" customHeight="1">
      <c r="A23" s="22" t="s">
        <v>92</v>
      </c>
      <c r="B23" s="28">
        <v>0.01</v>
      </c>
      <c r="C23" s="164">
        <v>0.01</v>
      </c>
      <c r="D23" s="28">
        <v>0.03</v>
      </c>
      <c r="E23" s="488">
        <v>0.02</v>
      </c>
      <c r="F23" s="28">
        <v>0</v>
      </c>
      <c r="G23" s="164">
        <v>0</v>
      </c>
      <c r="H23" s="28">
        <v>-57</v>
      </c>
      <c r="I23" s="488">
        <v>-57</v>
      </c>
      <c r="J23" s="28">
        <v>-57</v>
      </c>
      <c r="K23" s="164">
        <v>0</v>
      </c>
      <c r="L23" s="28">
        <v>61994</v>
      </c>
      <c r="M23" s="488">
        <v>61994</v>
      </c>
      <c r="N23" s="28">
        <v>61994</v>
      </c>
      <c r="O23" s="164">
        <v>26422</v>
      </c>
      <c r="P23" s="28">
        <v>162313.56</v>
      </c>
      <c r="Q23" s="488">
        <v>45438</v>
      </c>
      <c r="R23" s="28">
        <v>0</v>
      </c>
      <c r="S23" s="164">
        <v>0</v>
      </c>
      <c r="T23" s="28">
        <v>-1061527.31</v>
      </c>
      <c r="U23" s="488">
        <v>-1188.6199999999999</v>
      </c>
      <c r="V23" s="28">
        <v>-134.62</v>
      </c>
      <c r="W23" s="164">
        <v>0</v>
      </c>
      <c r="X23" s="28">
        <v>-2363</v>
      </c>
      <c r="Y23" s="488">
        <v>0</v>
      </c>
      <c r="Z23" s="28">
        <v>0</v>
      </c>
      <c r="AA23" s="164">
        <v>0</v>
      </c>
      <c r="AB23" s="30">
        <v>-559549.41000000748</v>
      </c>
      <c r="AC23" s="58">
        <v>36493</v>
      </c>
      <c r="AD23" s="28">
        <v>0</v>
      </c>
      <c r="AE23" s="164">
        <v>-46278.240000007449</v>
      </c>
      <c r="AF23" s="28">
        <v>-785727.94000000018</v>
      </c>
      <c r="AG23" s="58">
        <v>-670161.43000000669</v>
      </c>
      <c r="AH23" s="28">
        <v>-266670.37000000663</v>
      </c>
      <c r="AI23" s="164">
        <v>-184458.48</v>
      </c>
      <c r="AJ23" s="28">
        <v>-156875.7099999999</v>
      </c>
      <c r="AK23" s="58">
        <v>-1167764.5900000001</v>
      </c>
      <c r="AL23" s="28">
        <v>-210694.3</v>
      </c>
      <c r="AM23" s="164">
        <v>-104908.85</v>
      </c>
      <c r="AN23" s="28">
        <v>-855647.21</v>
      </c>
      <c r="AO23" s="58">
        <v>-737135.06</v>
      </c>
      <c r="AP23" s="28">
        <v>-616585.93999999994</v>
      </c>
      <c r="AQ23" s="164">
        <v>-119208.15</v>
      </c>
      <c r="AR23" s="57">
        <v>-970037.81</v>
      </c>
      <c r="AS23" s="58">
        <v>-848130.49</v>
      </c>
      <c r="AT23" s="57">
        <v>12088.1</v>
      </c>
      <c r="AU23" s="66">
        <v>-46125.26</v>
      </c>
      <c r="AV23" s="57">
        <v>-664982.94999999995</v>
      </c>
      <c r="AW23" s="58">
        <v>-285897.21999999997</v>
      </c>
      <c r="AX23" s="57">
        <v>316486.03999999998</v>
      </c>
      <c r="AY23" s="66">
        <v>79087.11</v>
      </c>
      <c r="AZ23" s="57">
        <v>242347.99</v>
      </c>
      <c r="BA23" s="58">
        <v>-354376.4</v>
      </c>
      <c r="BB23" s="57">
        <v>-65977.87</v>
      </c>
      <c r="BC23" s="258">
        <v>-630</v>
      </c>
      <c r="BD23" s="261">
        <f t="shared" si="23"/>
        <v>-46278.240000007449</v>
      </c>
      <c r="BE23" s="29">
        <f t="shared" si="17"/>
        <v>-115566.50999999349</v>
      </c>
      <c r="BF23" s="28">
        <f t="shared" si="24"/>
        <v>-403491.06000000006</v>
      </c>
      <c r="BG23" s="29">
        <f t="shared" si="18"/>
        <v>-82211.890000006621</v>
      </c>
      <c r="BH23" s="261">
        <f t="shared" si="25"/>
        <v>-184458.48</v>
      </c>
      <c r="BI23" s="29">
        <f t="shared" si="19"/>
        <v>1010888.8800000001</v>
      </c>
      <c r="BJ23" s="28">
        <f t="shared" si="26"/>
        <v>-957070.29</v>
      </c>
      <c r="BK23" s="29">
        <f t="shared" si="20"/>
        <v>-105785.44999999998</v>
      </c>
      <c r="BL23" s="261">
        <v>-104908.85</v>
      </c>
      <c r="BM23" s="226">
        <f t="shared" si="22"/>
        <v>-118512.14999999991</v>
      </c>
      <c r="BN23" s="28">
        <f t="shared" si="27"/>
        <v>-120549.12000000011</v>
      </c>
      <c r="BO23" s="29">
        <f t="shared" si="21"/>
        <v>-497377.78999999992</v>
      </c>
      <c r="BP23" s="69">
        <v>-119208.15</v>
      </c>
      <c r="BQ23" s="29">
        <v>-121907.32000000007</v>
      </c>
      <c r="BR23" s="28">
        <v>-860218.59</v>
      </c>
      <c r="BS23" s="29">
        <v>58213.36</v>
      </c>
      <c r="BT23" s="157">
        <v>-46125.26</v>
      </c>
      <c r="BU23" s="29">
        <v>-379085.73</v>
      </c>
      <c r="BV23" s="28">
        <v>-602383.26</v>
      </c>
      <c r="BW23" s="29">
        <v>237398.93</v>
      </c>
      <c r="BX23" s="158">
        <v>79087.11</v>
      </c>
      <c r="BY23" s="29">
        <v>596724.39</v>
      </c>
      <c r="BZ23" s="28">
        <v>-288398.53000000003</v>
      </c>
      <c r="CA23" s="29">
        <v>-65347.869999999995</v>
      </c>
      <c r="CB23" s="28">
        <v>-630</v>
      </c>
    </row>
    <row r="24" spans="1:80" ht="27.9" customHeight="1">
      <c r="A24" s="21" t="s">
        <v>93</v>
      </c>
      <c r="B24" s="31">
        <f t="shared" ref="B24" si="28">SUM(B7:B8)</f>
        <v>-62105616.810000017</v>
      </c>
      <c r="C24" s="195">
        <f t="shared" ref="C24" si="29">SUM(C7:C8)</f>
        <v>-65993082.857083187</v>
      </c>
      <c r="D24" s="31">
        <f>SUM(D7:D8)</f>
        <v>164870718.83654225</v>
      </c>
      <c r="E24" s="491">
        <f t="shared" ref="E24" si="30">SUM(E7:E8)</f>
        <v>16518182.679999977</v>
      </c>
      <c r="F24" s="31">
        <f t="shared" ref="F24" si="31">SUM(F7:F8)</f>
        <v>-1526322.5799999982</v>
      </c>
      <c r="G24" s="195">
        <f t="shared" ref="G24" si="32">SUM(G7:G8)</f>
        <v>-28320301.869999997</v>
      </c>
      <c r="H24" s="31">
        <f>SUM(H7:H8)-0.01</f>
        <v>121782666.29766056</v>
      </c>
      <c r="I24" s="491">
        <f t="shared" ref="I24" si="33">SUM(I7:I8)</f>
        <v>40125488.529808007</v>
      </c>
      <c r="J24" s="31">
        <f t="shared" ref="J24:O24" si="34">SUM(J7:J8)</f>
        <v>30115520.370000001</v>
      </c>
      <c r="K24" s="195">
        <f t="shared" si="34"/>
        <v>-12043177.209999993</v>
      </c>
      <c r="L24" s="31">
        <f t="shared" si="34"/>
        <v>15846374.279999999</v>
      </c>
      <c r="M24" s="491">
        <f t="shared" si="34"/>
        <v>-4940479.5299999975</v>
      </c>
      <c r="N24" s="31">
        <f t="shared" si="34"/>
        <v>-8424454.6099999957</v>
      </c>
      <c r="O24" s="195">
        <f t="shared" si="34"/>
        <v>-16606590.019999998</v>
      </c>
      <c r="P24" s="31">
        <f>SUM(P7:P8)-0.01</f>
        <v>29389305.869999997</v>
      </c>
      <c r="Q24" s="491">
        <f>SUM(Q7:Q8)</f>
        <v>13124135.080000002</v>
      </c>
      <c r="R24" s="31">
        <f>SUM(R7:R8)</f>
        <v>3148257.8299999982</v>
      </c>
      <c r="S24" s="195">
        <f>SUM(S7:S8)</f>
        <v>-5939307.6699999981</v>
      </c>
      <c r="T24" s="31">
        <f>SUM(T7:T8)-0.01</f>
        <v>25217341.77</v>
      </c>
      <c r="U24" s="491">
        <f>SUM(U7:U8)+0.01</f>
        <v>25519440.380000006</v>
      </c>
      <c r="V24" s="31">
        <f>SUM(V7:V8)</f>
        <v>14095481.77</v>
      </c>
      <c r="W24" s="195">
        <f t="shared" ref="W24" si="35">SUM(W7:W8)</f>
        <v>-1853509.3099999987</v>
      </c>
      <c r="X24" s="31">
        <f>SUM(X7:X8)</f>
        <v>20331361.169999994</v>
      </c>
      <c r="Y24" s="491">
        <f>SUM(Y7:Y8)</f>
        <v>-10173937.43</v>
      </c>
      <c r="Z24" s="31">
        <f t="shared" ref="Z24" si="36">SUM(Z7:Z8)</f>
        <v>-13373932.649999995</v>
      </c>
      <c r="AA24" s="195">
        <f t="shared" ref="AA24" si="37">SUM(AA7:AA8)</f>
        <v>-8254484.2800000012</v>
      </c>
      <c r="AB24" s="475">
        <f>SUM(AB7:AB8)</f>
        <v>20613634.350201212</v>
      </c>
      <c r="AC24" s="60">
        <f>SUM(AC7:AC8)</f>
        <v>-5813311.7700000033</v>
      </c>
      <c r="AD24" s="31">
        <f t="shared" ref="AD24:AE24" si="38">SUM(AD7:AD8)</f>
        <v>-6265114.3999999948</v>
      </c>
      <c r="AE24" s="195">
        <f t="shared" si="38"/>
        <v>-13949911.210000003</v>
      </c>
      <c r="AF24" s="31">
        <f t="shared" ref="AF24" si="39">SUM(AF7:AF8)</f>
        <v>5572620.2600000119</v>
      </c>
      <c r="AG24" s="60">
        <f t="shared" ref="AG24" si="40">SUM(AG7:AG8)</f>
        <v>-9479398.1810000017</v>
      </c>
      <c r="AH24" s="31">
        <f t="shared" ref="AH24" si="41">SUM(AH7:AH8)</f>
        <v>-6392732.7655076226</v>
      </c>
      <c r="AI24" s="195">
        <f t="shared" ref="AI24" si="42">SUM(AI7:AI8)</f>
        <v>-12048155.289999994</v>
      </c>
      <c r="AJ24" s="31">
        <f t="shared" ref="AJ24" si="43">SUM(AJ7:AJ8)</f>
        <v>23722401.409999996</v>
      </c>
      <c r="AK24" s="60">
        <f t="shared" ref="AK24:AP24" si="44">SUM(AK7:AK8)</f>
        <v>28456.319999981672</v>
      </c>
      <c r="AL24" s="31">
        <f t="shared" si="44"/>
        <v>2577181.3899999857</v>
      </c>
      <c r="AM24" s="195">
        <f t="shared" si="44"/>
        <v>-13274357.970000006</v>
      </c>
      <c r="AN24" s="31">
        <f t="shared" si="44"/>
        <v>5488104.5599999959</v>
      </c>
      <c r="AO24" s="60">
        <f t="shared" si="44"/>
        <v>-9641162.1099999994</v>
      </c>
      <c r="AP24" s="31">
        <f t="shared" si="44"/>
        <v>-15405799.660000004</v>
      </c>
      <c r="AQ24" s="195">
        <v>-14877845.35</v>
      </c>
      <c r="AR24" s="59">
        <v>14507367.369999999</v>
      </c>
      <c r="AS24" s="60">
        <v>8569435.5</v>
      </c>
      <c r="AT24" s="59">
        <v>7150048.4900000002</v>
      </c>
      <c r="AU24" s="65">
        <v>-3471996.84</v>
      </c>
      <c r="AV24" s="59">
        <v>8885692.0600000005</v>
      </c>
      <c r="AW24" s="60">
        <v>11405263.41</v>
      </c>
      <c r="AX24" s="59">
        <v>10535016.939999999</v>
      </c>
      <c r="AY24" s="65">
        <v>-3682537.75</v>
      </c>
      <c r="AZ24" s="59">
        <v>3179060.89</v>
      </c>
      <c r="BA24" s="60">
        <v>3244691.29</v>
      </c>
      <c r="BB24" s="59">
        <v>3024450.05</v>
      </c>
      <c r="BC24" s="256">
        <v>-6212341.7999999998</v>
      </c>
      <c r="BD24" s="260">
        <f>SUM(BD7:BD8)</f>
        <v>-13949911.210000003</v>
      </c>
      <c r="BE24" s="60">
        <f t="shared" si="17"/>
        <v>15052018.441000015</v>
      </c>
      <c r="BF24" s="59">
        <f>SUM(BF7:BF8)</f>
        <v>-3086665.41549238</v>
      </c>
      <c r="BG24" s="60">
        <f t="shared" si="18"/>
        <v>5655422.5244923709</v>
      </c>
      <c r="BH24" s="260">
        <f>SUM(BH7:BH8)</f>
        <v>-12048155.289999994</v>
      </c>
      <c r="BI24" s="60">
        <f t="shared" si="19"/>
        <v>23693945.090000015</v>
      </c>
      <c r="BJ24" s="59">
        <f>SUM(BJ7:BJ8)</f>
        <v>-2548725.0700000087</v>
      </c>
      <c r="BK24" s="60">
        <f t="shared" si="20"/>
        <v>15851539.359999992</v>
      </c>
      <c r="BL24" s="260">
        <f>SUM(BL7:BL8)</f>
        <v>-13274357.970000006</v>
      </c>
      <c r="BM24" s="225">
        <f>BM7+BM8</f>
        <v>15129266.669999998</v>
      </c>
      <c r="BN24" s="59">
        <f>SUM(BN7:BN8)</f>
        <v>5764637.5500000045</v>
      </c>
      <c r="BO24" s="60">
        <f t="shared" si="21"/>
        <v>-527954.31000000425</v>
      </c>
      <c r="BP24" s="152">
        <v>-14877845.35</v>
      </c>
      <c r="BQ24" s="32">
        <v>5937931.8699999992</v>
      </c>
      <c r="BR24" s="59">
        <v>1419387.0099999998</v>
      </c>
      <c r="BS24" s="60">
        <v>10622045.33</v>
      </c>
      <c r="BT24" s="152">
        <v>-3471996.84</v>
      </c>
      <c r="BU24" s="60">
        <v>-2519571.3499999996</v>
      </c>
      <c r="BV24" s="59">
        <v>870246.47000000067</v>
      </c>
      <c r="BW24" s="60">
        <v>14217554.689999999</v>
      </c>
      <c r="BX24" s="153">
        <v>-3682537.75</v>
      </c>
      <c r="BY24" s="60">
        <v>-65630.399999999907</v>
      </c>
      <c r="BZ24" s="59">
        <v>220241.24000000022</v>
      </c>
      <c r="CA24" s="60">
        <v>9236791.8499999996</v>
      </c>
      <c r="CB24" s="59">
        <v>-6212341.7999999998</v>
      </c>
    </row>
    <row r="25" spans="1:80" ht="27.9" customHeight="1">
      <c r="A25" s="21"/>
      <c r="B25" s="31"/>
      <c r="C25" s="195"/>
      <c r="D25" s="31"/>
      <c r="E25" s="491"/>
      <c r="F25" s="31"/>
      <c r="G25" s="195"/>
      <c r="H25" s="31"/>
      <c r="I25" s="491"/>
      <c r="J25" s="31"/>
      <c r="K25" s="195"/>
      <c r="L25" s="31"/>
      <c r="M25" s="491"/>
      <c r="N25" s="31"/>
      <c r="O25" s="195"/>
      <c r="P25" s="31"/>
      <c r="Q25" s="491"/>
      <c r="R25" s="31"/>
      <c r="S25" s="195"/>
      <c r="T25" s="31"/>
      <c r="U25" s="491"/>
      <c r="V25" s="31"/>
      <c r="W25" s="195"/>
      <c r="X25" s="31"/>
      <c r="Y25" s="491"/>
      <c r="Z25" s="31"/>
      <c r="AA25" s="195"/>
      <c r="AB25" s="476"/>
      <c r="AC25" s="58"/>
      <c r="AD25" s="31"/>
      <c r="AE25" s="195"/>
      <c r="AF25" s="31"/>
      <c r="AG25" s="58"/>
      <c r="AH25" s="31"/>
      <c r="AI25" s="195"/>
      <c r="AJ25" s="31"/>
      <c r="AK25" s="58"/>
      <c r="AL25" s="31"/>
      <c r="AM25" s="195"/>
      <c r="AN25" s="31"/>
      <c r="AO25" s="58"/>
      <c r="AP25" s="31"/>
      <c r="AQ25" s="195"/>
      <c r="AR25" s="57"/>
      <c r="AS25" s="58"/>
      <c r="AT25" s="57"/>
      <c r="AU25" s="66"/>
      <c r="AV25" s="57"/>
      <c r="AW25" s="58"/>
      <c r="AX25" s="57"/>
      <c r="AY25" s="66"/>
      <c r="AZ25" s="57"/>
      <c r="BA25" s="58"/>
      <c r="BB25" s="57"/>
      <c r="BC25" s="258"/>
      <c r="BD25" s="260"/>
      <c r="BE25" s="58"/>
      <c r="BF25" s="59"/>
      <c r="BG25" s="58"/>
      <c r="BH25" s="260"/>
      <c r="BI25" s="58"/>
      <c r="BJ25" s="59"/>
      <c r="BK25" s="58"/>
      <c r="BL25" s="260"/>
      <c r="BM25" s="227"/>
      <c r="BN25" s="59"/>
      <c r="BO25" s="58"/>
      <c r="BP25" s="69"/>
      <c r="BQ25" s="32"/>
      <c r="BR25" s="59"/>
      <c r="BS25" s="60"/>
      <c r="BT25" s="69"/>
      <c r="BU25" s="60"/>
      <c r="BV25" s="59"/>
      <c r="BW25" s="60"/>
      <c r="BX25" s="154"/>
      <c r="BY25" s="60"/>
      <c r="BZ25" s="59"/>
      <c r="CA25" s="60"/>
      <c r="CB25" s="57"/>
    </row>
    <row r="26" spans="1:80" ht="27.9" customHeight="1">
      <c r="A26" s="21" t="s">
        <v>94</v>
      </c>
      <c r="B26" s="31"/>
      <c r="C26" s="195"/>
      <c r="D26" s="31"/>
      <c r="E26" s="491"/>
      <c r="F26" s="31"/>
      <c r="G26" s="195"/>
      <c r="H26" s="31"/>
      <c r="I26" s="491"/>
      <c r="J26" s="31"/>
      <c r="K26" s="195"/>
      <c r="L26" s="31"/>
      <c r="M26" s="491"/>
      <c r="N26" s="31"/>
      <c r="O26" s="195"/>
      <c r="P26" s="31"/>
      <c r="Q26" s="491"/>
      <c r="R26" s="31"/>
      <c r="S26" s="195"/>
      <c r="T26" s="31"/>
      <c r="U26" s="491"/>
      <c r="V26" s="31"/>
      <c r="W26" s="195"/>
      <c r="X26" s="31"/>
      <c r="Y26" s="491"/>
      <c r="Z26" s="31"/>
      <c r="AA26" s="195"/>
      <c r="AB26" s="476"/>
      <c r="AC26" s="58"/>
      <c r="AD26" s="31"/>
      <c r="AE26" s="195"/>
      <c r="AF26" s="31"/>
      <c r="AG26" s="58"/>
      <c r="AH26" s="31"/>
      <c r="AI26" s="195"/>
      <c r="AJ26" s="31"/>
      <c r="AK26" s="58"/>
      <c r="AL26" s="31"/>
      <c r="AM26" s="195"/>
      <c r="AN26" s="31"/>
      <c r="AO26" s="58"/>
      <c r="AP26" s="31"/>
      <c r="AQ26" s="195"/>
      <c r="AR26" s="57"/>
      <c r="AS26" s="58"/>
      <c r="AT26" s="57"/>
      <c r="AU26" s="66"/>
      <c r="AV26" s="57"/>
      <c r="AW26" s="58"/>
      <c r="AX26" s="57"/>
      <c r="AY26" s="66"/>
      <c r="AZ26" s="57"/>
      <c r="BA26" s="58"/>
      <c r="BB26" s="57"/>
      <c r="BC26" s="258"/>
      <c r="BD26" s="260"/>
      <c r="BE26" s="58"/>
      <c r="BF26" s="59"/>
      <c r="BG26" s="58"/>
      <c r="BH26" s="260"/>
      <c r="BI26" s="58"/>
      <c r="BJ26" s="59"/>
      <c r="BK26" s="58"/>
      <c r="BL26" s="260"/>
      <c r="BM26" s="227"/>
      <c r="BN26" s="59"/>
      <c r="BO26" s="58"/>
      <c r="BP26" s="69"/>
      <c r="BQ26" s="32"/>
      <c r="BR26" s="59"/>
      <c r="BS26" s="60"/>
      <c r="BT26" s="69"/>
      <c r="BU26" s="60"/>
      <c r="BV26" s="59"/>
      <c r="BW26" s="60"/>
      <c r="BX26" s="154"/>
      <c r="BY26" s="60"/>
      <c r="BZ26" s="59"/>
      <c r="CA26" s="60"/>
      <c r="CB26" s="57"/>
    </row>
    <row r="27" spans="1:80" ht="27.9" customHeight="1">
      <c r="A27" s="22" t="s">
        <v>95</v>
      </c>
      <c r="B27" s="28">
        <v>23878.83</v>
      </c>
      <c r="C27" s="164">
        <v>6122.67</v>
      </c>
      <c r="D27" s="28">
        <v>81211.352276422782</v>
      </c>
      <c r="E27" s="488">
        <v>60169.17</v>
      </c>
      <c r="F27" s="28">
        <v>54593.84</v>
      </c>
      <c r="G27" s="164">
        <v>30163.06</v>
      </c>
      <c r="H27" s="28">
        <v>4969970.05</v>
      </c>
      <c r="I27" s="488">
        <v>4960899.4099999992</v>
      </c>
      <c r="J27" s="28">
        <v>3704759.63</v>
      </c>
      <c r="K27" s="164">
        <v>3034034.71</v>
      </c>
      <c r="L27" s="28">
        <v>1880083.91</v>
      </c>
      <c r="M27" s="488">
        <v>1366385.88</v>
      </c>
      <c r="N27" s="28">
        <v>652422.24</v>
      </c>
      <c r="O27" s="164">
        <v>294689.61</v>
      </c>
      <c r="P27" s="28">
        <v>4228729.26</v>
      </c>
      <c r="Q27" s="488">
        <v>5033046.54</v>
      </c>
      <c r="R27" s="28">
        <v>4014430.88</v>
      </c>
      <c r="S27" s="164">
        <v>22595.93</v>
      </c>
      <c r="T27" s="28">
        <v>5749201.04</v>
      </c>
      <c r="U27" s="488">
        <v>5665849.6600000001</v>
      </c>
      <c r="V27" s="28">
        <v>5551292.5700000003</v>
      </c>
      <c r="W27" s="164">
        <v>5175892.55</v>
      </c>
      <c r="X27" s="28">
        <v>676358.64</v>
      </c>
      <c r="Y27" s="488">
        <v>529693.72</v>
      </c>
      <c r="Z27" s="28">
        <v>197372.02</v>
      </c>
      <c r="AA27" s="164">
        <v>91105.03</v>
      </c>
      <c r="AB27" s="30">
        <v>661692.03</v>
      </c>
      <c r="AC27" s="58">
        <v>375047.45</v>
      </c>
      <c r="AD27" s="28">
        <v>263662.22000000009</v>
      </c>
      <c r="AE27" s="164">
        <v>149954.06</v>
      </c>
      <c r="AF27" s="28">
        <v>751372.16</v>
      </c>
      <c r="AG27" s="58">
        <v>192173.60000000003</v>
      </c>
      <c r="AH27" s="28">
        <v>60188.479999999989</v>
      </c>
      <c r="AI27" s="164">
        <v>46589.29000000003</v>
      </c>
      <c r="AJ27" s="28">
        <v>5850246.1599999992</v>
      </c>
      <c r="AK27" s="58">
        <v>6902058.6799999997</v>
      </c>
      <c r="AL27" s="28">
        <v>5166583.0199999996</v>
      </c>
      <c r="AM27" s="164">
        <v>785250.88</v>
      </c>
      <c r="AN27" s="28">
        <v>30036045.469999999</v>
      </c>
      <c r="AO27" s="58">
        <v>8841959.9900000002</v>
      </c>
      <c r="AP27" s="28">
        <v>29683048.59</v>
      </c>
      <c r="AQ27" s="164">
        <v>11825000.18</v>
      </c>
      <c r="AR27" s="57">
        <v>11753543.5</v>
      </c>
      <c r="AS27" s="58">
        <v>5981225.2000000002</v>
      </c>
      <c r="AT27" s="57">
        <v>4801271.18</v>
      </c>
      <c r="AU27" s="66">
        <v>757609.89</v>
      </c>
      <c r="AV27" s="57">
        <v>2968776.74</v>
      </c>
      <c r="AW27" s="58">
        <v>398050.53</v>
      </c>
      <c r="AX27" s="57">
        <v>2123265.34</v>
      </c>
      <c r="AY27" s="66">
        <v>2109350.27</v>
      </c>
      <c r="AZ27" s="57">
        <v>1798488.18</v>
      </c>
      <c r="BA27" s="58">
        <v>1250706.6000000001</v>
      </c>
      <c r="BB27" s="57">
        <v>1250706.6000000001</v>
      </c>
      <c r="BC27" s="258">
        <v>126698.96</v>
      </c>
      <c r="BD27" s="261">
        <f t="shared" ref="BD27:BD35" si="45">AE27</f>
        <v>149954.06</v>
      </c>
      <c r="BE27" s="29">
        <f t="shared" ref="BE27:BE36" si="46">AF27-AG27</f>
        <v>559198.56000000006</v>
      </c>
      <c r="BF27" s="28">
        <f t="shared" ref="BF27:BF35" si="47">AG27-AH27</f>
        <v>131985.12000000005</v>
      </c>
      <c r="BG27" s="29">
        <f t="shared" ref="BG27:BG36" si="48">AH27-AI27</f>
        <v>13599.189999999959</v>
      </c>
      <c r="BH27" s="261">
        <f t="shared" ref="BH27:BH35" si="49">AI27</f>
        <v>46589.29000000003</v>
      </c>
      <c r="BI27" s="29">
        <f t="shared" ref="BI27:BI36" si="50">AJ27-AK27</f>
        <v>-1051812.5200000005</v>
      </c>
      <c r="BJ27" s="28">
        <f t="shared" ref="BJ27:BJ35" si="51">AK27-AL27</f>
        <v>1735475.6600000001</v>
      </c>
      <c r="BK27" s="29">
        <f t="shared" ref="BK27:BK36" si="52">AL27-AM27</f>
        <v>4381332.1399999997</v>
      </c>
      <c r="BL27" s="261">
        <v>785250.88</v>
      </c>
      <c r="BM27" s="226">
        <f t="shared" ref="BM27:BM35" si="53">AN27-AO27</f>
        <v>21194085.479999997</v>
      </c>
      <c r="BN27" s="28">
        <f t="shared" ref="BN27:BN35" si="54">AO27-AP27</f>
        <v>-20841088.600000001</v>
      </c>
      <c r="BO27" s="29">
        <f t="shared" ref="BO27:BO36" si="55">AP27-AQ27</f>
        <v>17858048.41</v>
      </c>
      <c r="BP27" s="69">
        <v>11825000.18</v>
      </c>
      <c r="BQ27" s="32">
        <v>5772318.2999999998</v>
      </c>
      <c r="BR27" s="59">
        <v>1179954.0200000005</v>
      </c>
      <c r="BS27" s="60">
        <v>4043661.2899999996</v>
      </c>
      <c r="BT27" s="69">
        <v>757609.89</v>
      </c>
      <c r="BU27" s="60">
        <v>2570726.21</v>
      </c>
      <c r="BV27" s="59">
        <v>-1725214.8099999998</v>
      </c>
      <c r="BW27" s="60">
        <v>13915.069999999832</v>
      </c>
      <c r="BX27" s="154">
        <v>2109350.27</v>
      </c>
      <c r="BY27" s="60">
        <v>547781.57999999984</v>
      </c>
      <c r="BZ27" s="59">
        <v>0</v>
      </c>
      <c r="CA27" s="60">
        <v>1124007.6400000001</v>
      </c>
      <c r="CB27" s="57">
        <v>126698.96</v>
      </c>
    </row>
    <row r="28" spans="1:80" ht="27.6" customHeight="1">
      <c r="A28" s="22" t="s">
        <v>134</v>
      </c>
      <c r="B28" s="28">
        <v>-7759431.5999999996</v>
      </c>
      <c r="C28" s="164">
        <v>-3189579.93</v>
      </c>
      <c r="D28" s="28">
        <v>-13966311.549999993</v>
      </c>
      <c r="E28" s="488">
        <v>-9547848.6099999994</v>
      </c>
      <c r="F28" s="28">
        <v>-6986343.6500000004</v>
      </c>
      <c r="G28" s="164">
        <v>-3642565.81</v>
      </c>
      <c r="H28" s="28">
        <v>-19221314.010000002</v>
      </c>
      <c r="I28" s="488">
        <v>-15219523.45999999</v>
      </c>
      <c r="J28" s="28">
        <v>-7877191.9400000004</v>
      </c>
      <c r="K28" s="164">
        <v>-4968067.9800000004</v>
      </c>
      <c r="L28" s="28">
        <v>-20987638.91</v>
      </c>
      <c r="M28" s="488">
        <v>-15567619.83</v>
      </c>
      <c r="N28" s="28">
        <v>-11753266.109999999</v>
      </c>
      <c r="O28" s="164">
        <v>-6305568.8700000001</v>
      </c>
      <c r="P28" s="28">
        <v>-12590294.42</v>
      </c>
      <c r="Q28" s="488">
        <v>-9167130.7599999998</v>
      </c>
      <c r="R28" s="28">
        <v>-6502475.9699999997</v>
      </c>
      <c r="S28" s="164">
        <v>-3131241.27</v>
      </c>
      <c r="T28" s="28">
        <v>-13988102.890000001</v>
      </c>
      <c r="U28" s="488">
        <v>-10207753.4</v>
      </c>
      <c r="V28" s="28">
        <v>-8139458.9000000004</v>
      </c>
      <c r="W28" s="164">
        <v>-5538453.2800000003</v>
      </c>
      <c r="X28" s="28">
        <v>-11635896.49</v>
      </c>
      <c r="Y28" s="488">
        <v>-8619798.3300000001</v>
      </c>
      <c r="Z28" s="28">
        <v>-4842047.17</v>
      </c>
      <c r="AA28" s="164">
        <v>-2432089.65</v>
      </c>
      <c r="AB28" s="30">
        <v>-21467758.169999987</v>
      </c>
      <c r="AC28" s="29">
        <v>-17215326.460000001</v>
      </c>
      <c r="AD28" s="28">
        <v>-10390178.909999996</v>
      </c>
      <c r="AE28" s="164">
        <v>-8070653.3899999997</v>
      </c>
      <c r="AF28" s="28">
        <v>-19839413.76000002</v>
      </c>
      <c r="AG28" s="29">
        <v>-11701179.090000026</v>
      </c>
      <c r="AH28" s="28">
        <v>-5865135.8900000071</v>
      </c>
      <c r="AI28" s="164">
        <v>-2031884.0800000094</v>
      </c>
      <c r="AJ28" s="28">
        <v>-13274263.999999989</v>
      </c>
      <c r="AK28" s="29">
        <v>-10368846.670000006</v>
      </c>
      <c r="AL28" s="28">
        <v>-7014549.6299999999</v>
      </c>
      <c r="AM28" s="164">
        <v>-2785534.44</v>
      </c>
      <c r="AN28" s="28">
        <v>-23782019.460000001</v>
      </c>
      <c r="AO28" s="29">
        <v>-13352356.5</v>
      </c>
      <c r="AP28" s="28">
        <v>-12027385.25</v>
      </c>
      <c r="AQ28" s="164">
        <v>-5386410.1900000004</v>
      </c>
      <c r="AR28" s="28">
        <v>-26894966.93</v>
      </c>
      <c r="AS28" s="29">
        <v>-19182371.84</v>
      </c>
      <c r="AT28" s="28">
        <v>-19094159.949999999</v>
      </c>
      <c r="AU28" s="55">
        <v>-9085383.8699999992</v>
      </c>
      <c r="AV28" s="28">
        <v>-9154984.3399999999</v>
      </c>
      <c r="AW28" s="29">
        <v>-4188625.66</v>
      </c>
      <c r="AX28" s="28">
        <v>-3605893.56</v>
      </c>
      <c r="AY28" s="55">
        <v>-1578766.29</v>
      </c>
      <c r="AZ28" s="28">
        <v>-5396646.3200000003</v>
      </c>
      <c r="BA28" s="29">
        <v>-4021020.3</v>
      </c>
      <c r="BB28" s="28">
        <v>-2729769.67</v>
      </c>
      <c r="BC28" s="257">
        <v>-1065920.06</v>
      </c>
      <c r="BD28" s="261">
        <f t="shared" si="45"/>
        <v>-8070653.3899999997</v>
      </c>
      <c r="BE28" s="29">
        <f t="shared" si="46"/>
        <v>-8138234.6699999943</v>
      </c>
      <c r="BF28" s="28">
        <f t="shared" si="47"/>
        <v>-5836043.2000000188</v>
      </c>
      <c r="BG28" s="29">
        <f t="shared" si="48"/>
        <v>-3833251.8099999977</v>
      </c>
      <c r="BH28" s="261">
        <f t="shared" si="49"/>
        <v>-2031884.0800000094</v>
      </c>
      <c r="BI28" s="29">
        <f t="shared" si="50"/>
        <v>-2905417.3299999833</v>
      </c>
      <c r="BJ28" s="28">
        <f t="shared" si="51"/>
        <v>-3354297.0400000056</v>
      </c>
      <c r="BK28" s="29">
        <f t="shared" si="52"/>
        <v>-4229015.1899999995</v>
      </c>
      <c r="BL28" s="261">
        <v>-2785534.44</v>
      </c>
      <c r="BM28" s="226">
        <f t="shared" si="53"/>
        <v>-10429662.960000001</v>
      </c>
      <c r="BN28" s="28">
        <f t="shared" si="54"/>
        <v>-1324971.25</v>
      </c>
      <c r="BO28" s="29">
        <f t="shared" si="55"/>
        <v>-6640975.0599999996</v>
      </c>
      <c r="BP28" s="157">
        <v>-5386410.1900000004</v>
      </c>
      <c r="BQ28" s="29">
        <v>-7712595.0899999999</v>
      </c>
      <c r="BR28" s="28">
        <v>-88211.890000000596</v>
      </c>
      <c r="BS28" s="29">
        <v>-10008776.08</v>
      </c>
      <c r="BT28" s="157">
        <v>-9085383.8699999992</v>
      </c>
      <c r="BU28" s="29">
        <v>-4966358.68</v>
      </c>
      <c r="BV28" s="28">
        <v>-582732.10000000009</v>
      </c>
      <c r="BW28" s="29">
        <v>-2027127.27</v>
      </c>
      <c r="BX28" s="158">
        <v>-1578766.29</v>
      </c>
      <c r="BY28" s="29">
        <v>-1375626.0200000005</v>
      </c>
      <c r="BZ28" s="28">
        <v>-1291250.6299999999</v>
      </c>
      <c r="CA28" s="29">
        <v>-1663849.6099999999</v>
      </c>
      <c r="CB28" s="28">
        <v>-1065920.06</v>
      </c>
    </row>
    <row r="29" spans="1:80" ht="27.6" customHeight="1">
      <c r="A29" s="22" t="s">
        <v>96</v>
      </c>
      <c r="B29" s="28">
        <v>76998529.540000007</v>
      </c>
      <c r="C29" s="164">
        <v>0</v>
      </c>
      <c r="D29" s="28">
        <v>826704.57</v>
      </c>
      <c r="E29" s="488">
        <v>826704.57</v>
      </c>
      <c r="F29" s="28">
        <v>826704.57</v>
      </c>
      <c r="G29" s="164">
        <v>0</v>
      </c>
      <c r="H29" s="28">
        <v>0</v>
      </c>
      <c r="I29" s="488">
        <v>0</v>
      </c>
      <c r="J29" s="28">
        <v>0</v>
      </c>
      <c r="K29" s="164">
        <v>0</v>
      </c>
      <c r="L29" s="28">
        <v>0</v>
      </c>
      <c r="M29" s="488">
        <v>0</v>
      </c>
      <c r="N29" s="28">
        <v>0</v>
      </c>
      <c r="O29" s="164">
        <v>0</v>
      </c>
      <c r="P29" s="28">
        <v>0</v>
      </c>
      <c r="Q29" s="488">
        <v>0</v>
      </c>
      <c r="R29" s="28">
        <v>0</v>
      </c>
      <c r="S29" s="164">
        <v>0</v>
      </c>
      <c r="T29" s="28">
        <v>770399.48</v>
      </c>
      <c r="U29" s="488">
        <v>770399.48</v>
      </c>
      <c r="V29" s="28">
        <v>197775.51</v>
      </c>
      <c r="W29" s="164">
        <v>0</v>
      </c>
      <c r="X29" s="28">
        <v>10233499.48</v>
      </c>
      <c r="Y29" s="488">
        <v>10365838.470000001</v>
      </c>
      <c r="Z29" s="28">
        <v>7106802.7000000002</v>
      </c>
      <c r="AA29" s="164">
        <v>0</v>
      </c>
      <c r="AB29" s="30">
        <v>39000</v>
      </c>
      <c r="AC29" s="29">
        <v>0</v>
      </c>
      <c r="AD29" s="28">
        <v>0</v>
      </c>
      <c r="AE29" s="164">
        <v>0</v>
      </c>
      <c r="AF29" s="28">
        <v>1550856.81</v>
      </c>
      <c r="AG29" s="29">
        <v>1543753.8299999996</v>
      </c>
      <c r="AH29" s="28">
        <v>1524897.81</v>
      </c>
      <c r="AI29" s="164">
        <v>-2.3283064365386963E-10</v>
      </c>
      <c r="AJ29" s="28">
        <v>0</v>
      </c>
      <c r="AK29" s="29">
        <v>0</v>
      </c>
      <c r="AL29" s="28">
        <v>0</v>
      </c>
      <c r="AM29" s="164">
        <v>0</v>
      </c>
      <c r="AN29" s="28">
        <v>1940254.63</v>
      </c>
      <c r="AO29" s="29">
        <v>1940255.63</v>
      </c>
      <c r="AP29" s="28">
        <v>1940254.63</v>
      </c>
      <c r="AQ29" s="164">
        <v>1940273.63</v>
      </c>
      <c r="AR29" s="28">
        <v>5515601.9900000002</v>
      </c>
      <c r="AS29" s="29">
        <v>4102369.12</v>
      </c>
      <c r="AT29" s="28">
        <v>1669711.28</v>
      </c>
      <c r="AU29" s="55">
        <v>324417.90999999997</v>
      </c>
      <c r="AV29" s="28">
        <v>2279448.7799999998</v>
      </c>
      <c r="AW29" s="29">
        <v>1137916.54</v>
      </c>
      <c r="AX29" s="28">
        <v>358249.71</v>
      </c>
      <c r="AY29" s="55">
        <v>352442.05</v>
      </c>
      <c r="AZ29" s="28">
        <v>410452.31</v>
      </c>
      <c r="BA29" s="29">
        <v>55945.02</v>
      </c>
      <c r="BB29" s="28">
        <v>55945.02</v>
      </c>
      <c r="BC29" s="257">
        <v>51174.1</v>
      </c>
      <c r="BD29" s="261">
        <f t="shared" si="45"/>
        <v>0</v>
      </c>
      <c r="BE29" s="29">
        <f t="shared" si="46"/>
        <v>7102.980000000447</v>
      </c>
      <c r="BF29" s="28">
        <f t="shared" si="47"/>
        <v>18856.019999999553</v>
      </c>
      <c r="BG29" s="29">
        <f t="shared" si="48"/>
        <v>1524897.8100000003</v>
      </c>
      <c r="BH29" s="261">
        <f t="shared" si="49"/>
        <v>-2.3283064365386963E-10</v>
      </c>
      <c r="BI29" s="29">
        <f t="shared" si="50"/>
        <v>0</v>
      </c>
      <c r="BJ29" s="28">
        <f t="shared" si="51"/>
        <v>0</v>
      </c>
      <c r="BK29" s="29">
        <f t="shared" si="52"/>
        <v>0</v>
      </c>
      <c r="BL29" s="261">
        <v>0</v>
      </c>
      <c r="BM29" s="226">
        <f t="shared" si="53"/>
        <v>-1</v>
      </c>
      <c r="BN29" s="28">
        <f t="shared" si="54"/>
        <v>1</v>
      </c>
      <c r="BO29" s="29">
        <f t="shared" si="55"/>
        <v>-19</v>
      </c>
      <c r="BP29" s="157">
        <v>1940273.63</v>
      </c>
      <c r="BQ29" s="29">
        <v>1413232.87</v>
      </c>
      <c r="BR29" s="28">
        <v>2432657.84</v>
      </c>
      <c r="BS29" s="29">
        <v>1345293.37</v>
      </c>
      <c r="BT29" s="157">
        <v>324417.90999999997</v>
      </c>
      <c r="BU29" s="29">
        <v>1141532.2399999998</v>
      </c>
      <c r="BV29" s="28">
        <v>779666.83000000007</v>
      </c>
      <c r="BW29" s="29">
        <v>5807.6600000000326</v>
      </c>
      <c r="BX29" s="158">
        <v>352442.05</v>
      </c>
      <c r="BY29" s="29">
        <v>354507.29</v>
      </c>
      <c r="BZ29" s="28">
        <v>0</v>
      </c>
      <c r="CA29" s="29">
        <v>4770.9199999999983</v>
      </c>
      <c r="CB29" s="28">
        <v>51174.1</v>
      </c>
    </row>
    <row r="30" spans="1:80" ht="27.6" customHeight="1">
      <c r="A30" s="22" t="s">
        <v>167</v>
      </c>
      <c r="B30" s="28">
        <v>-737811.91</v>
      </c>
      <c r="C30" s="164">
        <v>0</v>
      </c>
      <c r="D30" s="28">
        <v>-7682800</v>
      </c>
      <c r="E30" s="488">
        <v>-32800.01</v>
      </c>
      <c r="F30" s="28">
        <v>-32800</v>
      </c>
      <c r="G30" s="164">
        <v>-29000</v>
      </c>
      <c r="H30" s="28">
        <v>-720000</v>
      </c>
      <c r="I30" s="488">
        <v>-720000.00000000745</v>
      </c>
      <c r="J30" s="28">
        <v>-720000</v>
      </c>
      <c r="K30" s="164">
        <v>0</v>
      </c>
      <c r="L30" s="28">
        <v>-20600</v>
      </c>
      <c r="M30" s="488">
        <v>-20600</v>
      </c>
      <c r="N30" s="28">
        <v>-7600</v>
      </c>
      <c r="O30" s="164">
        <v>-7600</v>
      </c>
      <c r="P30" s="28">
        <v>-75000</v>
      </c>
      <c r="Q30" s="488">
        <v>-63000</v>
      </c>
      <c r="R30" s="28">
        <v>-60000</v>
      </c>
      <c r="S30" s="164">
        <v>-60000</v>
      </c>
      <c r="T30" s="28">
        <v>-761400</v>
      </c>
      <c r="U30" s="488">
        <v>-761400</v>
      </c>
      <c r="V30" s="28">
        <v>-761400</v>
      </c>
      <c r="W30" s="164">
        <v>-761000</v>
      </c>
      <c r="X30" s="28">
        <v>-275350</v>
      </c>
      <c r="Y30" s="488">
        <v>-133950</v>
      </c>
      <c r="Z30" s="28">
        <v>-103400</v>
      </c>
      <c r="AA30" s="164">
        <v>-10000</v>
      </c>
      <c r="AB30" s="30">
        <v>-1776353.0899999999</v>
      </c>
      <c r="AC30" s="29">
        <v>-1484353.1</v>
      </c>
      <c r="AD30" s="28">
        <v>-762353.10000000056</v>
      </c>
      <c r="AE30" s="164">
        <v>-24981.5</v>
      </c>
      <c r="AF30" s="28">
        <v>-130190.76000000001</v>
      </c>
      <c r="AG30" s="29">
        <v>-85749.999999999069</v>
      </c>
      <c r="AH30" s="28">
        <v>-55599.999999998836</v>
      </c>
      <c r="AI30" s="164">
        <v>-32599.999999998894</v>
      </c>
      <c r="AJ30" s="28">
        <v>-116366.26999999955</v>
      </c>
      <c r="AK30" s="29">
        <v>-1392873.4099999997</v>
      </c>
      <c r="AL30" s="28">
        <v>-1188656.8500000001</v>
      </c>
      <c r="AM30" s="164">
        <v>-611359.84</v>
      </c>
      <c r="AN30" s="28">
        <v>-879089.01</v>
      </c>
      <c r="AO30" s="29">
        <v>-394991.23</v>
      </c>
      <c r="AP30" s="28">
        <v>-200421.08</v>
      </c>
      <c r="AQ30" s="164">
        <v>-126974.78</v>
      </c>
      <c r="AR30" s="28">
        <v>-213347.13</v>
      </c>
      <c r="AS30" s="29"/>
      <c r="AT30" s="28"/>
      <c r="AU30" s="55">
        <v>0</v>
      </c>
      <c r="AV30" s="28">
        <v>0</v>
      </c>
      <c r="AW30" s="29"/>
      <c r="AX30" s="28"/>
      <c r="AY30" s="55"/>
      <c r="AZ30" s="28">
        <v>0</v>
      </c>
      <c r="BA30" s="29"/>
      <c r="BB30" s="28"/>
      <c r="BC30" s="257"/>
      <c r="BD30" s="261">
        <f t="shared" si="45"/>
        <v>-24981.5</v>
      </c>
      <c r="BE30" s="29">
        <f t="shared" si="46"/>
        <v>-44440.760000000941</v>
      </c>
      <c r="BF30" s="28">
        <f t="shared" si="47"/>
        <v>-30150.000000000233</v>
      </c>
      <c r="BG30" s="29">
        <f t="shared" si="48"/>
        <v>-22999.999999999942</v>
      </c>
      <c r="BH30" s="261">
        <f t="shared" si="49"/>
        <v>-32599.999999998894</v>
      </c>
      <c r="BI30" s="29">
        <f t="shared" si="50"/>
        <v>1276507.1400000001</v>
      </c>
      <c r="BJ30" s="28">
        <f t="shared" si="51"/>
        <v>-204216.55999999959</v>
      </c>
      <c r="BK30" s="29">
        <f t="shared" si="52"/>
        <v>-577297.01000000013</v>
      </c>
      <c r="BL30" s="261">
        <v>-611359.84</v>
      </c>
      <c r="BM30" s="226">
        <f t="shared" si="53"/>
        <v>-484097.78</v>
      </c>
      <c r="BN30" s="28">
        <f t="shared" si="54"/>
        <v>-194570.15</v>
      </c>
      <c r="BO30" s="29">
        <f t="shared" si="55"/>
        <v>-73446.299999999988</v>
      </c>
      <c r="BP30" s="157">
        <v>-126974.78</v>
      </c>
      <c r="BQ30" s="29">
        <v>-213347.13</v>
      </c>
      <c r="BR30" s="28">
        <v>0</v>
      </c>
      <c r="BS30" s="29">
        <v>0</v>
      </c>
      <c r="BT30" s="157">
        <v>0</v>
      </c>
      <c r="BU30" s="29">
        <v>0</v>
      </c>
      <c r="BV30" s="28">
        <v>0</v>
      </c>
      <c r="BW30" s="29">
        <v>0</v>
      </c>
      <c r="BX30" s="158"/>
      <c r="BY30" s="29">
        <v>0</v>
      </c>
      <c r="BZ30" s="28">
        <v>0</v>
      </c>
      <c r="CA30" s="29">
        <v>0</v>
      </c>
      <c r="CB30" s="28"/>
    </row>
    <row r="31" spans="1:80" ht="27.6" customHeight="1">
      <c r="A31" s="22" t="s">
        <v>129</v>
      </c>
      <c r="B31" s="28">
        <v>-115000000</v>
      </c>
      <c r="C31" s="164">
        <v>-50000000</v>
      </c>
      <c r="D31" s="28">
        <v>-77000000</v>
      </c>
      <c r="E31" s="488">
        <v>0</v>
      </c>
      <c r="F31" s="28">
        <v>0</v>
      </c>
      <c r="G31" s="164">
        <v>0</v>
      </c>
      <c r="H31" s="28">
        <v>0</v>
      </c>
      <c r="I31" s="488">
        <v>0</v>
      </c>
      <c r="J31" s="28">
        <v>0</v>
      </c>
      <c r="K31" s="164">
        <v>0</v>
      </c>
      <c r="L31" s="28">
        <v>-16000</v>
      </c>
      <c r="M31" s="488">
        <v>-8000</v>
      </c>
      <c r="N31" s="28">
        <v>-8000</v>
      </c>
      <c r="O31" s="164">
        <v>-8000</v>
      </c>
      <c r="P31" s="28">
        <v>-119372.65</v>
      </c>
      <c r="Q31" s="488">
        <v>-119372.65</v>
      </c>
      <c r="R31" s="28">
        <v>-7000</v>
      </c>
      <c r="S31" s="164">
        <v>-7000</v>
      </c>
      <c r="T31" s="28">
        <v>-8000</v>
      </c>
      <c r="U31" s="488">
        <v>-8000</v>
      </c>
      <c r="V31" s="28">
        <v>0</v>
      </c>
      <c r="W31" s="164">
        <v>0</v>
      </c>
      <c r="X31" s="28">
        <v>-50000</v>
      </c>
      <c r="Y31" s="488">
        <v>-30000</v>
      </c>
      <c r="Z31" s="28">
        <v>-30000</v>
      </c>
      <c r="AA31" s="164">
        <v>-28900</v>
      </c>
      <c r="AB31" s="30">
        <v>-55000</v>
      </c>
      <c r="AC31" s="29">
        <v>-45000</v>
      </c>
      <c r="AD31" s="28">
        <v>-25000</v>
      </c>
      <c r="AE31" s="164">
        <v>-20000</v>
      </c>
      <c r="AF31" s="28">
        <v>-60149</v>
      </c>
      <c r="AG31" s="29">
        <v>-43149</v>
      </c>
      <c r="AH31" s="28">
        <v>-37149</v>
      </c>
      <c r="AI31" s="164">
        <v>-20149</v>
      </c>
      <c r="AJ31" s="28">
        <v>-71950.790000021458</v>
      </c>
      <c r="AK31" s="29">
        <v>-41275.690000027418</v>
      </c>
      <c r="AL31" s="28">
        <v>-36275.69</v>
      </c>
      <c r="AM31" s="164">
        <v>-17275.689999999999</v>
      </c>
      <c r="AN31" s="28">
        <v>-54156.29</v>
      </c>
      <c r="AO31" s="29">
        <v>-54156.29</v>
      </c>
      <c r="AP31" s="28">
        <v>-15000</v>
      </c>
      <c r="AQ31" s="164">
        <v>-15000</v>
      </c>
      <c r="AR31" s="28">
        <v>-870710.51</v>
      </c>
      <c r="AS31" s="29">
        <v>-868122.58</v>
      </c>
      <c r="AT31" s="28">
        <v>-85383.24</v>
      </c>
      <c r="AU31" s="55">
        <v>-112210.88</v>
      </c>
      <c r="AV31" s="28">
        <v>-187018.42</v>
      </c>
      <c r="AW31" s="29">
        <v>-25534.37</v>
      </c>
      <c r="AX31" s="28">
        <v>-25534.37</v>
      </c>
      <c r="AY31" s="55">
        <v>0</v>
      </c>
      <c r="AZ31" s="28">
        <v>0</v>
      </c>
      <c r="BA31" s="29">
        <v>0</v>
      </c>
      <c r="BB31" s="28">
        <v>0</v>
      </c>
      <c r="BC31" s="257"/>
      <c r="BD31" s="261">
        <f t="shared" si="45"/>
        <v>-20000</v>
      </c>
      <c r="BE31" s="29">
        <f t="shared" si="46"/>
        <v>-17000</v>
      </c>
      <c r="BF31" s="28">
        <f t="shared" si="47"/>
        <v>-6000</v>
      </c>
      <c r="BG31" s="29">
        <f t="shared" si="48"/>
        <v>-17000</v>
      </c>
      <c r="BH31" s="261">
        <f t="shared" si="49"/>
        <v>-20149</v>
      </c>
      <c r="BI31" s="29">
        <f t="shared" si="50"/>
        <v>-30675.09999999404</v>
      </c>
      <c r="BJ31" s="28">
        <f t="shared" si="51"/>
        <v>-5000.0000000274158</v>
      </c>
      <c r="BK31" s="29">
        <f t="shared" si="52"/>
        <v>-19000.000000000004</v>
      </c>
      <c r="BL31" s="261">
        <v>-17275.689999999999</v>
      </c>
      <c r="BM31" s="226">
        <f t="shared" si="53"/>
        <v>0</v>
      </c>
      <c r="BN31" s="28">
        <f t="shared" si="54"/>
        <v>-39156.29</v>
      </c>
      <c r="BO31" s="29">
        <f t="shared" si="55"/>
        <v>0</v>
      </c>
      <c r="BP31" s="157">
        <v>-15000</v>
      </c>
      <c r="BQ31" s="29">
        <v>-2587.9300000000512</v>
      </c>
      <c r="BR31" s="28">
        <v>-782739.34</v>
      </c>
      <c r="BS31" s="29">
        <v>26827.64</v>
      </c>
      <c r="BT31" s="157">
        <v>-112210.88</v>
      </c>
      <c r="BU31" s="29">
        <v>-161484.05000000002</v>
      </c>
      <c r="BV31" s="28">
        <v>0</v>
      </c>
      <c r="BW31" s="29">
        <v>-25534.37</v>
      </c>
      <c r="BX31" s="158">
        <v>0</v>
      </c>
      <c r="BY31" s="29">
        <v>0</v>
      </c>
      <c r="BZ31" s="28">
        <v>0</v>
      </c>
      <c r="CA31" s="29">
        <v>0</v>
      </c>
      <c r="CB31" s="28"/>
    </row>
    <row r="32" spans="1:80" ht="27.6" customHeight="1">
      <c r="A32" s="22" t="s">
        <v>229</v>
      </c>
      <c r="B32" s="28">
        <f>277224+483.43</f>
        <v>277707.43</v>
      </c>
      <c r="C32" s="164">
        <v>73000</v>
      </c>
      <c r="D32" s="28">
        <f>8287800+266300.74</f>
        <v>8554100.7400000002</v>
      </c>
      <c r="E32" s="488">
        <f>770000.01+57922.51</f>
        <v>827922.52</v>
      </c>
      <c r="F32" s="28">
        <f>770000+57922.51</f>
        <v>827922.51</v>
      </c>
      <c r="G32" s="164">
        <v>0</v>
      </c>
      <c r="H32" s="28">
        <v>31000</v>
      </c>
      <c r="I32" s="488">
        <v>31000</v>
      </c>
      <c r="J32" s="28">
        <v>31000</v>
      </c>
      <c r="K32" s="164">
        <v>31000</v>
      </c>
      <c r="L32" s="28">
        <f>24000+875.61</f>
        <v>24875.61</v>
      </c>
      <c r="M32" s="488">
        <f>24000+875.61</f>
        <v>24875.61</v>
      </c>
      <c r="N32" s="28">
        <f>24000+875.61</f>
        <v>24875.61</v>
      </c>
      <c r="O32" s="164">
        <v>24000</v>
      </c>
      <c r="P32" s="28">
        <f>109500+1824.59</f>
        <v>111324.59</v>
      </c>
      <c r="Q32" s="488">
        <v>97500</v>
      </c>
      <c r="R32" s="28">
        <v>85500</v>
      </c>
      <c r="S32" s="164">
        <v>67500</v>
      </c>
      <c r="T32" s="28">
        <v>928463.09</v>
      </c>
      <c r="U32" s="488">
        <f>53149.16+748024.9</f>
        <v>801174.06</v>
      </c>
      <c r="V32" s="28">
        <f>53149.16+728524.9</f>
        <v>781674.06</v>
      </c>
      <c r="W32" s="164">
        <f>53149.16+727024.9</f>
        <v>780174.06</v>
      </c>
      <c r="X32" s="28">
        <v>3500</v>
      </c>
      <c r="Y32" s="488">
        <v>1000</v>
      </c>
      <c r="Z32" s="28">
        <v>0</v>
      </c>
      <c r="AA32" s="164">
        <v>0</v>
      </c>
      <c r="AB32" s="30">
        <v>1684009.97</v>
      </c>
      <c r="AC32" s="29">
        <v>0</v>
      </c>
      <c r="AD32" s="28">
        <v>0</v>
      </c>
      <c r="AE32" s="164">
        <v>0</v>
      </c>
      <c r="AF32" s="28"/>
      <c r="AG32" s="29"/>
      <c r="AH32" s="28">
        <v>0</v>
      </c>
      <c r="AI32" s="164">
        <v>0</v>
      </c>
      <c r="AJ32" s="28">
        <v>0</v>
      </c>
      <c r="AK32" s="29">
        <v>0</v>
      </c>
      <c r="AL32" s="28">
        <v>0</v>
      </c>
      <c r="AM32" s="164">
        <v>0</v>
      </c>
      <c r="AN32" s="28">
        <v>1772.06</v>
      </c>
      <c r="AO32" s="29">
        <v>0.02</v>
      </c>
      <c r="AP32" s="28">
        <v>0.02</v>
      </c>
      <c r="AQ32" s="164">
        <v>0</v>
      </c>
      <c r="AR32" s="28">
        <v>0</v>
      </c>
      <c r="AS32" s="29"/>
      <c r="AT32" s="28"/>
      <c r="AU32" s="55">
        <v>0</v>
      </c>
      <c r="AV32" s="28">
        <v>0</v>
      </c>
      <c r="AW32" s="29"/>
      <c r="AX32" s="28"/>
      <c r="AY32" s="55"/>
      <c r="AZ32" s="28">
        <v>27.65</v>
      </c>
      <c r="BA32" s="29">
        <v>27.65</v>
      </c>
      <c r="BB32" s="28">
        <v>27.65</v>
      </c>
      <c r="BC32" s="257"/>
      <c r="BD32" s="261">
        <f t="shared" si="45"/>
        <v>0</v>
      </c>
      <c r="BE32" s="29">
        <f t="shared" si="46"/>
        <v>0</v>
      </c>
      <c r="BF32" s="28">
        <f t="shared" si="47"/>
        <v>0</v>
      </c>
      <c r="BG32" s="29">
        <f t="shared" si="48"/>
        <v>0</v>
      </c>
      <c r="BH32" s="261">
        <f t="shared" si="49"/>
        <v>0</v>
      </c>
      <c r="BI32" s="29">
        <f t="shared" si="50"/>
        <v>0</v>
      </c>
      <c r="BJ32" s="28">
        <f t="shared" si="51"/>
        <v>0</v>
      </c>
      <c r="BK32" s="29">
        <f t="shared" si="52"/>
        <v>0</v>
      </c>
      <c r="BL32" s="261"/>
      <c r="BM32" s="226">
        <f t="shared" si="53"/>
        <v>1772.04</v>
      </c>
      <c r="BN32" s="28">
        <f t="shared" si="54"/>
        <v>0</v>
      </c>
      <c r="BO32" s="29">
        <f t="shared" si="55"/>
        <v>0.02</v>
      </c>
      <c r="BP32" s="157">
        <v>0</v>
      </c>
      <c r="BQ32" s="29">
        <v>0</v>
      </c>
      <c r="BR32" s="28">
        <v>0</v>
      </c>
      <c r="BS32" s="29">
        <v>0</v>
      </c>
      <c r="BT32" s="157">
        <v>0</v>
      </c>
      <c r="BU32" s="29">
        <v>0</v>
      </c>
      <c r="BV32" s="28">
        <v>0</v>
      </c>
      <c r="BW32" s="29">
        <v>0</v>
      </c>
      <c r="BX32" s="158"/>
      <c r="BY32" s="29">
        <v>0</v>
      </c>
      <c r="BZ32" s="28">
        <v>0</v>
      </c>
      <c r="CA32" s="29">
        <v>27.65</v>
      </c>
      <c r="CB32" s="28"/>
    </row>
    <row r="33" spans="1:80" ht="27.6" customHeight="1">
      <c r="A33" s="22" t="s">
        <v>130</v>
      </c>
      <c r="B33" s="28">
        <v>0</v>
      </c>
      <c r="C33" s="164">
        <v>0</v>
      </c>
      <c r="D33" s="28">
        <v>0</v>
      </c>
      <c r="E33" s="488"/>
      <c r="F33" s="28">
        <v>0</v>
      </c>
      <c r="G33" s="164">
        <v>0</v>
      </c>
      <c r="H33" s="28">
        <v>0</v>
      </c>
      <c r="I33" s="488"/>
      <c r="J33" s="28">
        <v>0</v>
      </c>
      <c r="K33" s="164">
        <v>0</v>
      </c>
      <c r="L33" s="28">
        <v>0</v>
      </c>
      <c r="M33" s="488"/>
      <c r="N33" s="28">
        <v>0</v>
      </c>
      <c r="O33" s="164">
        <v>0</v>
      </c>
      <c r="P33" s="28">
        <v>73270.5</v>
      </c>
      <c r="Q33" s="488">
        <v>73270.5</v>
      </c>
      <c r="R33" s="28">
        <v>0</v>
      </c>
      <c r="S33" s="164">
        <v>0</v>
      </c>
      <c r="T33" s="28">
        <v>244235</v>
      </c>
      <c r="U33" s="488">
        <v>244235</v>
      </c>
      <c r="V33" s="28">
        <v>0</v>
      </c>
      <c r="W33" s="164">
        <v>0</v>
      </c>
      <c r="X33" s="28">
        <v>0</v>
      </c>
      <c r="Y33" s="488">
        <v>0</v>
      </c>
      <c r="Z33" s="28">
        <v>0</v>
      </c>
      <c r="AA33" s="164">
        <v>0</v>
      </c>
      <c r="AB33" s="30">
        <v>144130.75</v>
      </c>
      <c r="AC33" s="29">
        <v>144130.75</v>
      </c>
      <c r="AD33" s="28">
        <v>0</v>
      </c>
      <c r="AE33" s="164">
        <v>0</v>
      </c>
      <c r="AF33" s="28">
        <v>335288.69</v>
      </c>
      <c r="AG33" s="29">
        <v>131367</v>
      </c>
      <c r="AH33" s="28">
        <v>0</v>
      </c>
      <c r="AI33" s="164">
        <v>0</v>
      </c>
      <c r="AJ33" s="28">
        <v>170206</v>
      </c>
      <c r="AK33" s="29">
        <v>170206</v>
      </c>
      <c r="AL33" s="28">
        <v>0</v>
      </c>
      <c r="AM33" s="164">
        <v>0</v>
      </c>
      <c r="AN33" s="28">
        <v>151294</v>
      </c>
      <c r="AO33" s="29">
        <v>151294</v>
      </c>
      <c r="AP33" s="28">
        <v>0</v>
      </c>
      <c r="AQ33" s="164">
        <v>0</v>
      </c>
      <c r="AR33" s="28">
        <v>322694</v>
      </c>
      <c r="AS33" s="29">
        <v>322694</v>
      </c>
      <c r="AT33" s="28">
        <v>0</v>
      </c>
      <c r="AU33" s="55">
        <v>0</v>
      </c>
      <c r="AV33" s="28">
        <v>189344.5</v>
      </c>
      <c r="AW33" s="29">
        <v>189344.5</v>
      </c>
      <c r="AX33" s="28">
        <v>9720</v>
      </c>
      <c r="AY33" s="55"/>
      <c r="AZ33" s="28">
        <v>4860</v>
      </c>
      <c r="BA33" s="29">
        <v>4860</v>
      </c>
      <c r="BB33" s="28"/>
      <c r="BC33" s="257"/>
      <c r="BD33" s="261">
        <f t="shared" si="45"/>
        <v>0</v>
      </c>
      <c r="BE33" s="29">
        <f t="shared" si="46"/>
        <v>203921.69</v>
      </c>
      <c r="BF33" s="28">
        <f t="shared" si="47"/>
        <v>131367</v>
      </c>
      <c r="BG33" s="29">
        <f t="shared" si="48"/>
        <v>0</v>
      </c>
      <c r="BH33" s="261">
        <f t="shared" si="49"/>
        <v>0</v>
      </c>
      <c r="BI33" s="29">
        <f t="shared" si="50"/>
        <v>0</v>
      </c>
      <c r="BJ33" s="28">
        <f t="shared" si="51"/>
        <v>170206</v>
      </c>
      <c r="BK33" s="29">
        <f t="shared" si="52"/>
        <v>0</v>
      </c>
      <c r="BL33" s="261"/>
      <c r="BM33" s="226">
        <f t="shared" si="53"/>
        <v>0</v>
      </c>
      <c r="BN33" s="28">
        <f t="shared" si="54"/>
        <v>151294</v>
      </c>
      <c r="BO33" s="29">
        <f t="shared" si="55"/>
        <v>0</v>
      </c>
      <c r="BP33" s="157">
        <v>0</v>
      </c>
      <c r="BQ33" s="29">
        <v>0</v>
      </c>
      <c r="BR33" s="28">
        <v>322694</v>
      </c>
      <c r="BS33" s="29">
        <v>0</v>
      </c>
      <c r="BT33" s="157">
        <v>0</v>
      </c>
      <c r="BU33" s="29">
        <v>0</v>
      </c>
      <c r="BV33" s="28">
        <v>179624.5</v>
      </c>
      <c r="BW33" s="29">
        <v>9720</v>
      </c>
      <c r="BX33" s="158"/>
      <c r="BY33" s="29">
        <v>0</v>
      </c>
      <c r="BZ33" s="28">
        <v>4860</v>
      </c>
      <c r="CA33" s="29">
        <v>0</v>
      </c>
      <c r="CB33" s="28"/>
    </row>
    <row r="34" spans="1:80" ht="27.6" customHeight="1">
      <c r="A34" s="22" t="s">
        <v>131</v>
      </c>
      <c r="B34" s="28">
        <v>0</v>
      </c>
      <c r="C34" s="164">
        <v>0</v>
      </c>
      <c r="D34" s="28">
        <v>0</v>
      </c>
      <c r="E34" s="488">
        <v>0</v>
      </c>
      <c r="F34" s="28">
        <v>0</v>
      </c>
      <c r="G34" s="164">
        <v>0</v>
      </c>
      <c r="H34" s="28">
        <v>0</v>
      </c>
      <c r="I34" s="488">
        <v>0</v>
      </c>
      <c r="J34" s="28">
        <v>0</v>
      </c>
      <c r="K34" s="164">
        <v>0</v>
      </c>
      <c r="L34" s="28">
        <v>267713.88</v>
      </c>
      <c r="M34" s="488">
        <v>267713.88</v>
      </c>
      <c r="N34" s="28">
        <v>267512.40000000002</v>
      </c>
      <c r="O34" s="164">
        <v>0</v>
      </c>
      <c r="P34" s="28">
        <v>0</v>
      </c>
      <c r="Q34" s="488">
        <v>0</v>
      </c>
      <c r="R34" s="28">
        <v>0</v>
      </c>
      <c r="S34" s="164">
        <v>0</v>
      </c>
      <c r="T34" s="28">
        <v>0</v>
      </c>
      <c r="U34" s="488">
        <v>0</v>
      </c>
      <c r="V34" s="28">
        <v>0</v>
      </c>
      <c r="W34" s="164">
        <v>0</v>
      </c>
      <c r="X34" s="28">
        <v>0</v>
      </c>
      <c r="Y34" s="488">
        <v>0</v>
      </c>
      <c r="Z34" s="28">
        <v>0</v>
      </c>
      <c r="AA34" s="164">
        <v>0</v>
      </c>
      <c r="AB34" s="30">
        <v>0</v>
      </c>
      <c r="AC34" s="29">
        <v>0</v>
      </c>
      <c r="AD34" s="28">
        <v>0</v>
      </c>
      <c r="AE34" s="164">
        <v>0</v>
      </c>
      <c r="AF34" s="28"/>
      <c r="AG34" s="29">
        <v>2692200.49</v>
      </c>
      <c r="AH34" s="28">
        <v>1287604.1000000001</v>
      </c>
      <c r="AI34" s="164">
        <v>0</v>
      </c>
      <c r="AJ34" s="28">
        <v>722.68000000016002</v>
      </c>
      <c r="AK34" s="29">
        <v>722.68000000051654</v>
      </c>
      <c r="AL34" s="28">
        <v>0</v>
      </c>
      <c r="AM34" s="164">
        <v>722.68</v>
      </c>
      <c r="AN34" s="28"/>
      <c r="AO34" s="29">
        <v>22258178.030000001</v>
      </c>
      <c r="AP34" s="28">
        <v>0</v>
      </c>
      <c r="AQ34" s="164">
        <v>0</v>
      </c>
      <c r="AR34" s="28">
        <v>54.79</v>
      </c>
      <c r="AS34" s="29"/>
      <c r="AT34" s="28">
        <v>1730.77</v>
      </c>
      <c r="AU34" s="55">
        <v>1830600</v>
      </c>
      <c r="AV34" s="28">
        <v>4916619.28</v>
      </c>
      <c r="AW34" s="29">
        <v>303193.53999999998</v>
      </c>
      <c r="AX34" s="28">
        <v>106960.2</v>
      </c>
      <c r="AY34" s="55">
        <v>39461.22</v>
      </c>
      <c r="AZ34" s="28">
        <v>274457.43</v>
      </c>
      <c r="BA34" s="29"/>
      <c r="BB34" s="28"/>
      <c r="BC34" s="257"/>
      <c r="BD34" s="261">
        <f t="shared" si="45"/>
        <v>0</v>
      </c>
      <c r="BE34" s="29">
        <f t="shared" si="46"/>
        <v>-2692200.49</v>
      </c>
      <c r="BF34" s="28">
        <f t="shared" si="47"/>
        <v>1404596.3900000001</v>
      </c>
      <c r="BG34" s="29">
        <f t="shared" si="48"/>
        <v>1287604.1000000001</v>
      </c>
      <c r="BH34" s="261">
        <f t="shared" si="49"/>
        <v>0</v>
      </c>
      <c r="BI34" s="29">
        <f t="shared" si="50"/>
        <v>-3.5652192309498787E-10</v>
      </c>
      <c r="BJ34" s="28">
        <f t="shared" si="51"/>
        <v>722.68000000051654</v>
      </c>
      <c r="BK34" s="29">
        <f t="shared" si="52"/>
        <v>-722.68</v>
      </c>
      <c r="BL34" s="261">
        <v>722.68</v>
      </c>
      <c r="BM34" s="226">
        <f t="shared" si="53"/>
        <v>-22258178.030000001</v>
      </c>
      <c r="BN34" s="28">
        <f t="shared" si="54"/>
        <v>22258178.030000001</v>
      </c>
      <c r="BO34" s="29">
        <f t="shared" si="55"/>
        <v>0</v>
      </c>
      <c r="BP34" s="157">
        <v>0</v>
      </c>
      <c r="BQ34" s="29">
        <v>54.79</v>
      </c>
      <c r="BR34" s="28">
        <v>-1730.77</v>
      </c>
      <c r="BS34" s="29">
        <v>-1828869.23</v>
      </c>
      <c r="BT34" s="157">
        <v>1830600</v>
      </c>
      <c r="BU34" s="29">
        <v>4613425.74</v>
      </c>
      <c r="BV34" s="28">
        <v>196233.33999999997</v>
      </c>
      <c r="BW34" s="29">
        <v>67498.98</v>
      </c>
      <c r="BX34" s="158">
        <v>39461.22</v>
      </c>
      <c r="BY34" s="29">
        <v>274457.43</v>
      </c>
      <c r="BZ34" s="28">
        <v>0</v>
      </c>
      <c r="CA34" s="29">
        <v>0</v>
      </c>
      <c r="CB34" s="28"/>
    </row>
    <row r="35" spans="1:80" ht="27.9" customHeight="1">
      <c r="A35" s="22" t="s">
        <v>132</v>
      </c>
      <c r="B35" s="28">
        <v>0</v>
      </c>
      <c r="C35" s="164">
        <v>0</v>
      </c>
      <c r="D35" s="28">
        <v>0</v>
      </c>
      <c r="E35" s="488">
        <v>0</v>
      </c>
      <c r="F35" s="28">
        <v>0</v>
      </c>
      <c r="G35" s="164">
        <v>0</v>
      </c>
      <c r="H35" s="28">
        <v>0</v>
      </c>
      <c r="I35" s="488">
        <v>0</v>
      </c>
      <c r="J35" s="28">
        <v>0</v>
      </c>
      <c r="K35" s="164">
        <v>0</v>
      </c>
      <c r="L35" s="28">
        <v>0</v>
      </c>
      <c r="M35" s="488">
        <v>0</v>
      </c>
      <c r="N35" s="28">
        <v>0</v>
      </c>
      <c r="O35" s="164">
        <v>0</v>
      </c>
      <c r="P35" s="28">
        <v>0</v>
      </c>
      <c r="Q35" s="488">
        <v>0</v>
      </c>
      <c r="R35" s="28">
        <v>0</v>
      </c>
      <c r="S35" s="164">
        <v>0</v>
      </c>
      <c r="T35" s="28">
        <v>0</v>
      </c>
      <c r="U35" s="488">
        <v>0</v>
      </c>
      <c r="V35" s="28">
        <v>0</v>
      </c>
      <c r="W35" s="164">
        <v>0</v>
      </c>
      <c r="X35" s="28">
        <v>0</v>
      </c>
      <c r="Y35" s="488">
        <v>0</v>
      </c>
      <c r="Z35" s="28">
        <v>0</v>
      </c>
      <c r="AA35" s="164">
        <v>0</v>
      </c>
      <c r="AB35" s="30">
        <v>-132338.99</v>
      </c>
      <c r="AC35" s="29">
        <v>0</v>
      </c>
      <c r="AD35" s="28">
        <v>0</v>
      </c>
      <c r="AE35" s="164">
        <v>0</v>
      </c>
      <c r="AF35" s="28"/>
      <c r="AG35" s="29">
        <v>-266485.65000000002</v>
      </c>
      <c r="AH35" s="28">
        <v>0</v>
      </c>
      <c r="AI35" s="164">
        <v>0</v>
      </c>
      <c r="AJ35" s="28">
        <v>0</v>
      </c>
      <c r="AK35" s="29">
        <v>0</v>
      </c>
      <c r="AL35" s="28">
        <v>0</v>
      </c>
      <c r="AM35" s="164">
        <v>0</v>
      </c>
      <c r="AN35" s="28">
        <v>-119454.33</v>
      </c>
      <c r="AO35" s="29">
        <v>-1078091.3999999999</v>
      </c>
      <c r="AP35" s="28">
        <v>-39650</v>
      </c>
      <c r="AQ35" s="164">
        <v>0</v>
      </c>
      <c r="AR35" s="28">
        <v>0</v>
      </c>
      <c r="AS35" s="29"/>
      <c r="AT35" s="28">
        <v>-49697.11</v>
      </c>
      <c r="AU35" s="55">
        <v>-2240.4499999999998</v>
      </c>
      <c r="AV35" s="28">
        <v>-153116.65</v>
      </c>
      <c r="AW35" s="29">
        <v>-12924.52</v>
      </c>
      <c r="AX35" s="28">
        <v>-9051.1200000000008</v>
      </c>
      <c r="AY35" s="55">
        <v>-9051.1200000000008</v>
      </c>
      <c r="AZ35" s="28"/>
      <c r="BA35" s="29">
        <v>-8469.2000000000007</v>
      </c>
      <c r="BB35" s="28">
        <v>-8469.2000000000007</v>
      </c>
      <c r="BC35" s="257"/>
      <c r="BD35" s="261">
        <f t="shared" si="45"/>
        <v>0</v>
      </c>
      <c r="BE35" s="29">
        <f t="shared" si="46"/>
        <v>266485.65000000002</v>
      </c>
      <c r="BF35" s="28">
        <f t="shared" si="47"/>
        <v>-266485.65000000002</v>
      </c>
      <c r="BG35" s="29">
        <f t="shared" si="48"/>
        <v>0</v>
      </c>
      <c r="BH35" s="261">
        <f t="shared" si="49"/>
        <v>0</v>
      </c>
      <c r="BI35" s="29">
        <f t="shared" si="50"/>
        <v>0</v>
      </c>
      <c r="BJ35" s="28">
        <f t="shared" si="51"/>
        <v>0</v>
      </c>
      <c r="BK35" s="29">
        <f t="shared" si="52"/>
        <v>0</v>
      </c>
      <c r="BL35" s="261"/>
      <c r="BM35" s="226">
        <f t="shared" si="53"/>
        <v>958637.07</v>
      </c>
      <c r="BN35" s="28">
        <f t="shared" si="54"/>
        <v>-1038441.3999999999</v>
      </c>
      <c r="BO35" s="29">
        <f t="shared" si="55"/>
        <v>-39650</v>
      </c>
      <c r="BP35" s="157">
        <v>0</v>
      </c>
      <c r="BQ35" s="29">
        <v>0</v>
      </c>
      <c r="BR35" s="28">
        <v>49697.11</v>
      </c>
      <c r="BS35" s="29">
        <v>-47456.66</v>
      </c>
      <c r="BT35" s="157">
        <v>-2240.4499999999998</v>
      </c>
      <c r="BU35" s="29">
        <v>-140192.13</v>
      </c>
      <c r="BV35" s="28">
        <v>-3873.3999999999996</v>
      </c>
      <c r="BW35" s="29">
        <v>0</v>
      </c>
      <c r="BX35" s="158">
        <v>-9051.1200000000008</v>
      </c>
      <c r="BY35" s="29">
        <v>8469.2000000000007</v>
      </c>
      <c r="BZ35" s="28">
        <v>0</v>
      </c>
      <c r="CA35" s="29">
        <v>-8469.2000000000007</v>
      </c>
      <c r="CB35" s="28"/>
    </row>
    <row r="36" spans="1:80" ht="27.9" customHeight="1">
      <c r="A36" s="21" t="s">
        <v>97</v>
      </c>
      <c r="B36" s="31">
        <f>SUM(B27:B35)</f>
        <v>-46197127.709999986</v>
      </c>
      <c r="C36" s="195">
        <f>SUM(C27:C35)</f>
        <v>-53110457.259999998</v>
      </c>
      <c r="D36" s="31">
        <f>SUM(D27:D35)</f>
        <v>-89187094.88772358</v>
      </c>
      <c r="E36" s="491">
        <f t="shared" ref="E36" si="56">SUM(E27:E35)</f>
        <v>-7865852.3599999994</v>
      </c>
      <c r="F36" s="31">
        <f>SUM(F27:F35)</f>
        <v>-5309922.7300000004</v>
      </c>
      <c r="G36" s="195">
        <f>SUM(G27:G35)</f>
        <v>-3641402.75</v>
      </c>
      <c r="H36" s="31">
        <f>SUM(H27:H35)</f>
        <v>-14940343.960000001</v>
      </c>
      <c r="I36" s="491">
        <f t="shared" ref="I36" si="57">SUM(I27:I35)</f>
        <v>-10947624.049999997</v>
      </c>
      <c r="J36" s="31">
        <f>SUM(J27:J35)</f>
        <v>-4861432.3100000005</v>
      </c>
      <c r="K36" s="195">
        <f>SUM(K27:K35)</f>
        <v>-1903033.2700000005</v>
      </c>
      <c r="L36" s="31">
        <f>SUM(L27:L35)</f>
        <v>-18851565.510000002</v>
      </c>
      <c r="M36" s="491">
        <f t="shared" ref="M36" si="58">SUM(M27:M35)</f>
        <v>-13937244.459999999</v>
      </c>
      <c r="N36" s="31">
        <f t="shared" ref="N36" si="59">SUM(N27:N35)</f>
        <v>-10824055.859999999</v>
      </c>
      <c r="O36" s="195">
        <f>SUM(O27:O35)</f>
        <v>-6002479.2599999998</v>
      </c>
      <c r="P36" s="31">
        <f t="shared" ref="P36" si="60">SUM(P27:P35)</f>
        <v>-8371342.7200000007</v>
      </c>
      <c r="Q36" s="491">
        <f t="shared" ref="Q36" si="61">SUM(Q27:Q35)</f>
        <v>-4145686.37</v>
      </c>
      <c r="R36" s="31">
        <f t="shared" ref="R36" si="62">SUM(R27:R35)</f>
        <v>-2469545.09</v>
      </c>
      <c r="S36" s="195">
        <f>SUM(S27:S35)</f>
        <v>-3108145.34</v>
      </c>
      <c r="T36" s="31">
        <f t="shared" ref="T36" si="63">SUM(T27:T35)</f>
        <v>-7065204.2800000012</v>
      </c>
      <c r="U36" s="491">
        <f t="shared" ref="U36" si="64">SUM(U27:U35)</f>
        <v>-3495495.1999999997</v>
      </c>
      <c r="V36" s="31">
        <f t="shared" ref="V36" si="65">SUM(V27:V35)</f>
        <v>-2370116.7600000002</v>
      </c>
      <c r="W36" s="195">
        <f t="shared" ref="W36" si="66">SUM(W27:W35)</f>
        <v>-343386.67000000039</v>
      </c>
      <c r="X36" s="31">
        <f t="shared" ref="X36:Z36" si="67">SUM(X27:X35)</f>
        <v>-1047888.3699999992</v>
      </c>
      <c r="Y36" s="491">
        <f t="shared" ref="Y36:AA36" si="68">SUM(Y27:Y35)</f>
        <v>2112783.8600000003</v>
      </c>
      <c r="Z36" s="31">
        <f t="shared" si="67"/>
        <v>2328727.5499999998</v>
      </c>
      <c r="AA36" s="195">
        <f t="shared" si="68"/>
        <v>-2379884.62</v>
      </c>
      <c r="AB36" s="475">
        <f t="shared" ref="AB36:AE36" si="69">SUM(AB27:AB35)</f>
        <v>-20902617.499999985</v>
      </c>
      <c r="AC36" s="60">
        <f t="shared" si="69"/>
        <v>-18225501.360000003</v>
      </c>
      <c r="AD36" s="31">
        <f t="shared" si="69"/>
        <v>-10913869.789999995</v>
      </c>
      <c r="AE36" s="195">
        <f t="shared" si="69"/>
        <v>-7965680.8300000001</v>
      </c>
      <c r="AF36" s="31">
        <f t="shared" ref="AF36" si="70">SUM(AF27:AF35)</f>
        <v>-17392235.860000022</v>
      </c>
      <c r="AG36" s="60">
        <f t="shared" ref="AG36" si="71">SUM(AG27:AG35)</f>
        <v>-7537068.8200000264</v>
      </c>
      <c r="AH36" s="31">
        <f t="shared" ref="AH36" si="72">SUM(AH27:AH35)</f>
        <v>-3085194.5000000061</v>
      </c>
      <c r="AI36" s="195">
        <f t="shared" ref="AI36" si="73">SUM(AI27:AI35)</f>
        <v>-2038043.7900000084</v>
      </c>
      <c r="AJ36" s="31">
        <f t="shared" ref="AJ36" si="74">SUM(AJ27:AJ35)</f>
        <v>-7441406.2200000109</v>
      </c>
      <c r="AK36" s="60">
        <f t="shared" ref="AK36:AP36" si="75">SUM(AK27:AK35)</f>
        <v>-4730008.4100000327</v>
      </c>
      <c r="AL36" s="31">
        <f t="shared" si="75"/>
        <v>-3072899.1500000004</v>
      </c>
      <c r="AM36" s="195">
        <f t="shared" si="75"/>
        <v>-2628196.4099999997</v>
      </c>
      <c r="AN36" s="31">
        <f t="shared" si="75"/>
        <v>7294647.0699999975</v>
      </c>
      <c r="AO36" s="60">
        <f t="shared" si="75"/>
        <v>18312092.250000004</v>
      </c>
      <c r="AP36" s="31">
        <f t="shared" si="75"/>
        <v>19340846.91</v>
      </c>
      <c r="AQ36" s="195">
        <v>8236888.8399999999</v>
      </c>
      <c r="AR36" s="59">
        <v>-10387130.289999999</v>
      </c>
      <c r="AS36" s="60">
        <v>-9644206.0999999996</v>
      </c>
      <c r="AT36" s="59">
        <v>-12756527.07</v>
      </c>
      <c r="AU36" s="65">
        <v>-6287207.4000000004</v>
      </c>
      <c r="AV36" s="59">
        <v>859069.89</v>
      </c>
      <c r="AW36" s="60">
        <v>-2198579.44</v>
      </c>
      <c r="AX36" s="59">
        <v>-1042283.8</v>
      </c>
      <c r="AY36" s="65">
        <v>913436.13</v>
      </c>
      <c r="AZ36" s="59">
        <v>-2908360.75</v>
      </c>
      <c r="BA36" s="60">
        <v>-2717950.23</v>
      </c>
      <c r="BB36" s="59">
        <v>-1431559.6</v>
      </c>
      <c r="BC36" s="256">
        <v>-888047</v>
      </c>
      <c r="BD36" s="260">
        <f>SUM(BD27:BD35)</f>
        <v>-7965680.8300000001</v>
      </c>
      <c r="BE36" s="32">
        <f t="shared" si="46"/>
        <v>-9855167.0399999954</v>
      </c>
      <c r="BF36" s="59">
        <f>SUM(BF27:BF35)</f>
        <v>-4451874.3200000189</v>
      </c>
      <c r="BG36" s="32">
        <f t="shared" si="48"/>
        <v>-1047150.7099999976</v>
      </c>
      <c r="BH36" s="260">
        <f>SUM(BH27:BH35)</f>
        <v>-2038043.7900000084</v>
      </c>
      <c r="BI36" s="32">
        <f t="shared" si="50"/>
        <v>-2711397.8099999782</v>
      </c>
      <c r="BJ36" s="59">
        <f>SUM(BJ27:BJ35)</f>
        <v>-1657109.2600000321</v>
      </c>
      <c r="BK36" s="32">
        <f t="shared" si="52"/>
        <v>-444702.74000000069</v>
      </c>
      <c r="BL36" s="260">
        <f>SUM(BL27:BL35)</f>
        <v>-2628196.4099999997</v>
      </c>
      <c r="BM36" s="225">
        <f>SUM(BM27:BM35)</f>
        <v>-11017445.180000005</v>
      </c>
      <c r="BN36" s="59">
        <f>SUM(BN27:BN35)</f>
        <v>-1028754.6599999978</v>
      </c>
      <c r="BO36" s="32">
        <f t="shared" si="55"/>
        <v>11103958.07</v>
      </c>
      <c r="BP36" s="152">
        <v>8236888.8399999999</v>
      </c>
      <c r="BQ36" s="32">
        <v>-742924.18999999948</v>
      </c>
      <c r="BR36" s="59">
        <v>3112320.9700000007</v>
      </c>
      <c r="BS36" s="60">
        <v>-6469319.6699999999</v>
      </c>
      <c r="BT36" s="152">
        <v>-6287207.4000000004</v>
      </c>
      <c r="BU36" s="60">
        <v>3057649.33</v>
      </c>
      <c r="BV36" s="59">
        <v>-1156295.6399999999</v>
      </c>
      <c r="BW36" s="60">
        <v>-1955719.9300000002</v>
      </c>
      <c r="BX36" s="153">
        <v>913436.13</v>
      </c>
      <c r="BY36" s="60">
        <v>-190410.52000000002</v>
      </c>
      <c r="BZ36" s="59">
        <v>-1286390.6299999999</v>
      </c>
      <c r="CA36" s="60">
        <v>-543512.60000000009</v>
      </c>
      <c r="CB36" s="59">
        <v>-888047</v>
      </c>
    </row>
    <row r="37" spans="1:80" ht="27.9" customHeight="1">
      <c r="A37" s="21"/>
      <c r="B37" s="31"/>
      <c r="C37" s="195"/>
      <c r="D37" s="31"/>
      <c r="E37" s="491"/>
      <c r="F37" s="31"/>
      <c r="G37" s="195"/>
      <c r="H37" s="31"/>
      <c r="I37" s="491"/>
      <c r="J37" s="31"/>
      <c r="K37" s="195"/>
      <c r="L37" s="31"/>
      <c r="M37" s="491"/>
      <c r="N37" s="31"/>
      <c r="O37" s="195"/>
      <c r="P37" s="31"/>
      <c r="Q37" s="491"/>
      <c r="R37" s="31"/>
      <c r="S37" s="195"/>
      <c r="T37" s="31"/>
      <c r="U37" s="491"/>
      <c r="V37" s="31"/>
      <c r="W37" s="195"/>
      <c r="X37" s="31"/>
      <c r="Y37" s="491"/>
      <c r="Z37" s="31"/>
      <c r="AA37" s="195"/>
      <c r="AB37" s="476"/>
      <c r="AC37" s="58"/>
      <c r="AD37" s="31"/>
      <c r="AE37" s="195"/>
      <c r="AF37" s="31"/>
      <c r="AG37" s="58"/>
      <c r="AH37" s="31"/>
      <c r="AI37" s="195"/>
      <c r="AJ37" s="31"/>
      <c r="AK37" s="58"/>
      <c r="AL37" s="31"/>
      <c r="AM37" s="195"/>
      <c r="AN37" s="31"/>
      <c r="AO37" s="58"/>
      <c r="AP37" s="31"/>
      <c r="AQ37" s="195"/>
      <c r="AR37" s="57"/>
      <c r="AS37" s="58"/>
      <c r="AT37" s="57"/>
      <c r="AU37" s="66"/>
      <c r="AV37" s="57"/>
      <c r="AW37" s="58"/>
      <c r="AX37" s="57"/>
      <c r="AY37" s="66"/>
      <c r="AZ37" s="57"/>
      <c r="BA37" s="58"/>
      <c r="BB37" s="57"/>
      <c r="BC37" s="258"/>
      <c r="BD37" s="260"/>
      <c r="BE37" s="58"/>
      <c r="BF37" s="28"/>
      <c r="BG37" s="58"/>
      <c r="BH37" s="260"/>
      <c r="BI37" s="58"/>
      <c r="BJ37" s="28"/>
      <c r="BK37" s="58"/>
      <c r="BL37" s="260"/>
      <c r="BM37" s="227"/>
      <c r="BN37" s="28"/>
      <c r="BO37" s="58"/>
      <c r="BP37" s="69"/>
      <c r="BQ37" s="29"/>
      <c r="BR37" s="28"/>
      <c r="BS37" s="29"/>
      <c r="BT37" s="157"/>
      <c r="BU37" s="29"/>
      <c r="BV37" s="28"/>
      <c r="BW37" s="29"/>
      <c r="BX37" s="158"/>
      <c r="BY37" s="29"/>
      <c r="BZ37" s="28"/>
      <c r="CA37" s="29"/>
      <c r="CB37" s="28"/>
    </row>
    <row r="38" spans="1:80" ht="27.9" customHeight="1">
      <c r="A38" s="21" t="s">
        <v>98</v>
      </c>
      <c r="B38" s="31"/>
      <c r="C38" s="195"/>
      <c r="D38" s="31"/>
      <c r="E38" s="491"/>
      <c r="F38" s="31"/>
      <c r="G38" s="195"/>
      <c r="H38" s="31"/>
      <c r="I38" s="491"/>
      <c r="J38" s="31"/>
      <c r="K38" s="195"/>
      <c r="L38" s="31"/>
      <c r="M38" s="491"/>
      <c r="N38" s="31"/>
      <c r="O38" s="195"/>
      <c r="P38" s="31"/>
      <c r="Q38" s="491"/>
      <c r="R38" s="31"/>
      <c r="S38" s="195"/>
      <c r="T38" s="31"/>
      <c r="U38" s="491"/>
      <c r="V38" s="31"/>
      <c r="W38" s="195"/>
      <c r="X38" s="31"/>
      <c r="Y38" s="491"/>
      <c r="Z38" s="31"/>
      <c r="AA38" s="195"/>
      <c r="AB38" s="476"/>
      <c r="AC38" s="58"/>
      <c r="AD38" s="31"/>
      <c r="AE38" s="195"/>
      <c r="AF38" s="31"/>
      <c r="AG38" s="58"/>
      <c r="AH38" s="31"/>
      <c r="AI38" s="195"/>
      <c r="AJ38" s="31"/>
      <c r="AK38" s="58"/>
      <c r="AL38" s="31"/>
      <c r="AM38" s="195"/>
      <c r="AN38" s="31"/>
      <c r="AO38" s="58"/>
      <c r="AP38" s="31"/>
      <c r="AQ38" s="195"/>
      <c r="AR38" s="57"/>
      <c r="AS38" s="58"/>
      <c r="AT38" s="57"/>
      <c r="AU38" s="66"/>
      <c r="AV38" s="57"/>
      <c r="AW38" s="58"/>
      <c r="AX38" s="57"/>
      <c r="AY38" s="66"/>
      <c r="AZ38" s="57"/>
      <c r="BA38" s="58"/>
      <c r="BB38" s="57"/>
      <c r="BC38" s="258"/>
      <c r="BD38" s="260"/>
      <c r="BE38" s="58"/>
      <c r="BF38" s="28"/>
      <c r="BG38" s="58"/>
      <c r="BH38" s="260"/>
      <c r="BI38" s="58"/>
      <c r="BJ38" s="28"/>
      <c r="BK38" s="58"/>
      <c r="BL38" s="260"/>
      <c r="BM38" s="227"/>
      <c r="BN38" s="28"/>
      <c r="BO38" s="58"/>
      <c r="BP38" s="69"/>
      <c r="BQ38" s="29"/>
      <c r="BR38" s="28"/>
      <c r="BS38" s="29"/>
      <c r="BT38" s="157"/>
      <c r="BU38" s="29"/>
      <c r="BV38" s="28"/>
      <c r="BW38" s="29"/>
      <c r="BX38" s="158"/>
      <c r="BY38" s="29"/>
      <c r="BZ38" s="28"/>
      <c r="CA38" s="29"/>
      <c r="CB38" s="28"/>
    </row>
    <row r="39" spans="1:80" ht="27.9" customHeight="1">
      <c r="A39" s="22" t="s">
        <v>99</v>
      </c>
      <c r="B39" s="28">
        <v>4964974.28</v>
      </c>
      <c r="C39" s="164">
        <v>0</v>
      </c>
      <c r="D39" s="28">
        <v>556180.76</v>
      </c>
      <c r="E39" s="488">
        <v>450839.13</v>
      </c>
      <c r="F39" s="28">
        <v>473280.78</v>
      </c>
      <c r="G39" s="164">
        <v>170570.04</v>
      </c>
      <c r="H39" s="28">
        <v>21350345.660000019</v>
      </c>
      <c r="I39" s="488">
        <v>21913907.399999999</v>
      </c>
      <c r="J39" s="28">
        <v>20243789.449999999</v>
      </c>
      <c r="K39" s="164">
        <v>18156819.399999999</v>
      </c>
      <c r="L39" s="28">
        <v>53163672.729999997</v>
      </c>
      <c r="M39" s="488">
        <v>46678776.469999999</v>
      </c>
      <c r="N39" s="28">
        <v>32953798.620000001</v>
      </c>
      <c r="O39" s="164">
        <v>20296362.43</v>
      </c>
      <c r="P39" s="28">
        <v>29681837.93</v>
      </c>
      <c r="Q39" s="488">
        <v>20722634.719999999</v>
      </c>
      <c r="R39" s="28">
        <v>16065266.6</v>
      </c>
      <c r="S39" s="164">
        <v>15253703.25</v>
      </c>
      <c r="T39" s="28">
        <v>46691146.979999997</v>
      </c>
      <c r="U39" s="488">
        <v>31316179.550000001</v>
      </c>
      <c r="V39" s="28">
        <v>26650290.149999999</v>
      </c>
      <c r="W39" s="164">
        <v>11237401.34</v>
      </c>
      <c r="X39" s="28">
        <v>78984622.719999999</v>
      </c>
      <c r="Y39" s="488">
        <v>60615944.689999998</v>
      </c>
      <c r="Z39" s="28">
        <v>44174869.600000001</v>
      </c>
      <c r="AA39" s="164">
        <v>14074559.98</v>
      </c>
      <c r="AB39" s="30">
        <v>67915768.060000002</v>
      </c>
      <c r="AC39" s="29">
        <v>53139235.009999998</v>
      </c>
      <c r="AD39" s="28">
        <v>35547708.849999994</v>
      </c>
      <c r="AE39" s="164">
        <v>29101856.139999997</v>
      </c>
      <c r="AF39" s="28">
        <v>18307835.059999999</v>
      </c>
      <c r="AG39" s="29">
        <v>27916703.370000005</v>
      </c>
      <c r="AH39" s="28">
        <v>25044344.060000006</v>
      </c>
      <c r="AI39" s="164">
        <v>18363713.590000004</v>
      </c>
      <c r="AJ39" s="28">
        <v>2618341.1999999974</v>
      </c>
      <c r="AK39" s="29">
        <v>19051680.089999996</v>
      </c>
      <c r="AL39" s="28">
        <v>11172430.869999999</v>
      </c>
      <c r="AM39" s="164">
        <v>15678943</v>
      </c>
      <c r="AN39" s="28">
        <v>3138775.33</v>
      </c>
      <c r="AO39" s="29">
        <v>8921355.8900000006</v>
      </c>
      <c r="AP39" s="28">
        <v>7715270.0800000001</v>
      </c>
      <c r="AQ39" s="164">
        <v>4578012.5</v>
      </c>
      <c r="AR39" s="28">
        <v>11715983.689999999</v>
      </c>
      <c r="AS39" s="29">
        <v>18817816.640000001</v>
      </c>
      <c r="AT39" s="28">
        <v>16425384.289999999</v>
      </c>
      <c r="AU39" s="55">
        <v>8623113.9900000002</v>
      </c>
      <c r="AV39" s="28">
        <v>5049882.13</v>
      </c>
      <c r="AW39" s="29">
        <v>5655583.9500000002</v>
      </c>
      <c r="AX39" s="28">
        <v>4295053.3600000003</v>
      </c>
      <c r="AY39" s="55">
        <v>6647741.96</v>
      </c>
      <c r="AZ39" s="28">
        <v>4384842.96</v>
      </c>
      <c r="BA39" s="29">
        <v>6886559.0199999996</v>
      </c>
      <c r="BB39" s="28">
        <v>4238536.41</v>
      </c>
      <c r="BC39" s="257">
        <v>3914347.13</v>
      </c>
      <c r="BD39" s="261">
        <f t="shared" ref="BD39:BD44" si="76">AE39</f>
        <v>29101856.139999997</v>
      </c>
      <c r="BE39" s="29">
        <f t="shared" ref="BE39:BE45" si="77">AF39-AG39</f>
        <v>-9608868.3100000061</v>
      </c>
      <c r="BF39" s="28">
        <f t="shared" ref="BF39:BF44" si="78">AG39-AH39</f>
        <v>2872359.3099999987</v>
      </c>
      <c r="BG39" s="29">
        <f t="shared" ref="BG39:BG45" si="79">AH39-AI39</f>
        <v>6680630.4700000025</v>
      </c>
      <c r="BH39" s="261">
        <f t="shared" ref="BH39:BH44" si="80">AI39</f>
        <v>18363713.590000004</v>
      </c>
      <c r="BI39" s="29">
        <f t="shared" ref="BI39:BI45" si="81">AJ39-AK39</f>
        <v>-16433338.889999999</v>
      </c>
      <c r="BJ39" s="28">
        <f t="shared" ref="BJ39:BJ44" si="82">AK39-AL39</f>
        <v>7879249.2199999969</v>
      </c>
      <c r="BK39" s="29">
        <f t="shared" ref="BK39:BK45" si="83">AL39-AM39</f>
        <v>-4506512.1300000008</v>
      </c>
      <c r="BL39" s="261">
        <v>15678943</v>
      </c>
      <c r="BM39" s="226">
        <f t="shared" ref="BM39:BM44" si="84">AN39-AO39</f>
        <v>-5782580.5600000005</v>
      </c>
      <c r="BN39" s="28">
        <f t="shared" ref="BN39:BN44" si="85">AO39-AP39</f>
        <v>1206085.8100000005</v>
      </c>
      <c r="BO39" s="29">
        <f t="shared" ref="BO39:BO49" si="86">AP39-AQ39</f>
        <v>3137257.58</v>
      </c>
      <c r="BP39" s="157">
        <v>4578012.5</v>
      </c>
      <c r="BQ39" s="29">
        <v>-7101832.9500000011</v>
      </c>
      <c r="BR39" s="28">
        <v>2392432.3500000015</v>
      </c>
      <c r="BS39" s="29">
        <v>7802270.2999999989</v>
      </c>
      <c r="BT39" s="157">
        <v>8623113.9900000002</v>
      </c>
      <c r="BU39" s="29">
        <v>-605701.8200000003</v>
      </c>
      <c r="BV39" s="28">
        <v>1360530.5899999999</v>
      </c>
      <c r="BW39" s="29">
        <v>-2352688.5999999996</v>
      </c>
      <c r="BX39" s="158">
        <v>6647741.96</v>
      </c>
      <c r="BY39" s="29">
        <v>-2501716.0599999996</v>
      </c>
      <c r="BZ39" s="28">
        <v>2648022.6099999994</v>
      </c>
      <c r="CA39" s="29">
        <v>324189.28000000026</v>
      </c>
      <c r="CB39" s="28">
        <v>3914347.13</v>
      </c>
    </row>
    <row r="40" spans="1:80" ht="27.9" customHeight="1">
      <c r="A40" s="22" t="s">
        <v>100</v>
      </c>
      <c r="B40" s="28">
        <v>-26130.400000000001</v>
      </c>
      <c r="C40" s="164">
        <v>-10318.65</v>
      </c>
      <c r="D40" s="28">
        <v>-12285450.930000007</v>
      </c>
      <c r="E40" s="488">
        <v>-11704283.84</v>
      </c>
      <c r="F40" s="28">
        <v>-2378840.29</v>
      </c>
      <c r="G40" s="164">
        <v>-2214560.08</v>
      </c>
      <c r="H40" s="28">
        <v>-37660951.869999982</v>
      </c>
      <c r="I40" s="488">
        <v>-36982598.75</v>
      </c>
      <c r="J40" s="28">
        <v>-35214455.710000001</v>
      </c>
      <c r="K40" s="164">
        <v>-8413114.6999999993</v>
      </c>
      <c r="L40" s="28">
        <v>-46215800.850000001</v>
      </c>
      <c r="M40" s="488">
        <v>-30122566.16</v>
      </c>
      <c r="N40" s="28">
        <v>-13454895.390000001</v>
      </c>
      <c r="O40" s="164">
        <v>-1076370.21</v>
      </c>
      <c r="P40" s="28">
        <v>-58255885.75</v>
      </c>
      <c r="Q40" s="488">
        <v>-34842680.68</v>
      </c>
      <c r="R40" s="28">
        <v>-21880476.91</v>
      </c>
      <c r="S40" s="164">
        <v>-10684608.17</v>
      </c>
      <c r="T40" s="28">
        <v>-64480522.560000002</v>
      </c>
      <c r="U40" s="488">
        <v>-60189381.899999999</v>
      </c>
      <c r="V40" s="28">
        <v>-39618474.270000003</v>
      </c>
      <c r="W40" s="164">
        <v>-15982835.77</v>
      </c>
      <c r="X40" s="28">
        <v>-90374661.569999993</v>
      </c>
      <c r="Y40" s="488">
        <v>-53961017.5</v>
      </c>
      <c r="Z40" s="28">
        <v>-34314662.460000001</v>
      </c>
      <c r="AA40" s="164">
        <v>-7679599.0700000003</v>
      </c>
      <c r="AB40" s="30">
        <v>-56101808.573499992</v>
      </c>
      <c r="AC40" s="29">
        <v>-24414965.050000001</v>
      </c>
      <c r="AD40" s="28">
        <v>-13985089.149999995</v>
      </c>
      <c r="AE40" s="164">
        <v>-4805181.59</v>
      </c>
      <c r="AF40" s="28">
        <v>-2626435.8800000008</v>
      </c>
      <c r="AG40" s="29">
        <v>-3423981.8200000003</v>
      </c>
      <c r="AH40" s="28">
        <v>-11472115.43</v>
      </c>
      <c r="AI40" s="164">
        <v>-3544154.5000000009</v>
      </c>
      <c r="AJ40" s="28">
        <v>-12425730.550000001</v>
      </c>
      <c r="AK40" s="29">
        <v>-10777582.060000001</v>
      </c>
      <c r="AL40" s="28">
        <v>-9186512.4100000001</v>
      </c>
      <c r="AM40" s="164">
        <v>-634682.73</v>
      </c>
      <c r="AN40" s="28">
        <v>-7902883.6799999997</v>
      </c>
      <c r="AO40" s="29">
        <v>-11481223.130000001</v>
      </c>
      <c r="AP40" s="28">
        <v>-9695206.8399999999</v>
      </c>
      <c r="AQ40" s="164">
        <v>1524270.24</v>
      </c>
      <c r="AR40" s="28">
        <v>-5305636.3099999996</v>
      </c>
      <c r="AS40" s="29">
        <v>-15312579.9</v>
      </c>
      <c r="AT40" s="28">
        <v>-6395706.2599999998</v>
      </c>
      <c r="AU40" s="55">
        <v>-471750</v>
      </c>
      <c r="AV40" s="28">
        <v>-5931247.7599999998</v>
      </c>
      <c r="AW40" s="29">
        <v>-13069927.710000001</v>
      </c>
      <c r="AX40" s="28">
        <v>-12847455.810000001</v>
      </c>
      <c r="AY40" s="55">
        <v>-3449453.81</v>
      </c>
      <c r="AZ40" s="28">
        <v>-2903957.6</v>
      </c>
      <c r="BA40" s="29">
        <v>-9138198.9600000009</v>
      </c>
      <c r="BB40" s="28">
        <v>-4926137.0199999996</v>
      </c>
      <c r="BC40" s="257">
        <v>-700000</v>
      </c>
      <c r="BD40" s="261">
        <f t="shared" si="76"/>
        <v>-4805181.59</v>
      </c>
      <c r="BE40" s="29">
        <f t="shared" si="77"/>
        <v>797545.93999999948</v>
      </c>
      <c r="BF40" s="28">
        <f t="shared" si="78"/>
        <v>8048133.6099999994</v>
      </c>
      <c r="BG40" s="29">
        <f t="shared" si="79"/>
        <v>-7927960.9299999988</v>
      </c>
      <c r="BH40" s="261">
        <f t="shared" si="80"/>
        <v>-3544154.5000000009</v>
      </c>
      <c r="BI40" s="29">
        <f t="shared" si="81"/>
        <v>-1648148.4900000002</v>
      </c>
      <c r="BJ40" s="28">
        <f t="shared" si="82"/>
        <v>-1591069.6500000004</v>
      </c>
      <c r="BK40" s="29">
        <f t="shared" si="83"/>
        <v>-8551829.6799999997</v>
      </c>
      <c r="BL40" s="261">
        <v>-634682.73</v>
      </c>
      <c r="BM40" s="226">
        <f t="shared" si="84"/>
        <v>3578339.4500000011</v>
      </c>
      <c r="BN40" s="28">
        <f t="shared" si="85"/>
        <v>-1786016.290000001</v>
      </c>
      <c r="BO40" s="29">
        <f t="shared" si="86"/>
        <v>-11219477.08</v>
      </c>
      <c r="BP40" s="157">
        <v>1524270.24</v>
      </c>
      <c r="BQ40" s="29">
        <v>10006943.59</v>
      </c>
      <c r="BR40" s="28">
        <v>-8916873.6400000006</v>
      </c>
      <c r="BS40" s="29">
        <v>-5923956.2599999998</v>
      </c>
      <c r="BT40" s="157">
        <v>-471750</v>
      </c>
      <c r="BU40" s="29">
        <v>7138679.9500000011</v>
      </c>
      <c r="BV40" s="28">
        <v>-222471.90000000037</v>
      </c>
      <c r="BW40" s="29">
        <v>-9398002</v>
      </c>
      <c r="BX40" s="158">
        <v>-3449453.81</v>
      </c>
      <c r="BY40" s="29">
        <v>6234241.3600000013</v>
      </c>
      <c r="BZ40" s="28">
        <v>-4212061.9400000013</v>
      </c>
      <c r="CA40" s="29">
        <v>-4226137.0199999996</v>
      </c>
      <c r="CB40" s="28">
        <v>-700000</v>
      </c>
    </row>
    <row r="41" spans="1:80" ht="27.9" customHeight="1">
      <c r="A41" s="22" t="s">
        <v>224</v>
      </c>
      <c r="B41" s="28">
        <v>-606719.47</v>
      </c>
      <c r="C41" s="164">
        <v>-289127.15000000002</v>
      </c>
      <c r="D41" s="28">
        <v>-1327418.24</v>
      </c>
      <c r="E41" s="488">
        <v>-994527.84</v>
      </c>
      <c r="F41" s="28">
        <v>-764303.74</v>
      </c>
      <c r="G41" s="164">
        <v>-355764.92</v>
      </c>
      <c r="H41" s="28">
        <v>-2047626.1438500083</v>
      </c>
      <c r="I41" s="488">
        <v>-1618985.8505599906</v>
      </c>
      <c r="J41" s="28">
        <v>-1212037.7</v>
      </c>
      <c r="K41" s="164">
        <v>-668640.09</v>
      </c>
      <c r="L41" s="28">
        <v>-891487.69</v>
      </c>
      <c r="M41" s="488">
        <v>-617269.72</v>
      </c>
      <c r="N41" s="28">
        <v>-434362.11</v>
      </c>
      <c r="O41" s="164">
        <v>-260439.84</v>
      </c>
      <c r="P41" s="28">
        <v>-1088489.19</v>
      </c>
      <c r="Q41" s="488">
        <v>-937790.88</v>
      </c>
      <c r="R41" s="28">
        <v>-695915.69</v>
      </c>
      <c r="S41" s="164">
        <v>-341924.34</v>
      </c>
      <c r="T41" s="28">
        <v>-1902146.36</v>
      </c>
      <c r="U41" s="488">
        <v>-2433143.27</v>
      </c>
      <c r="V41" s="28">
        <v>-1865760.55</v>
      </c>
      <c r="W41" s="164">
        <v>-946606.77</v>
      </c>
      <c r="X41" s="28">
        <v>-4915502.04</v>
      </c>
      <c r="Y41" s="488">
        <v>-3952149.92</v>
      </c>
      <c r="Z41" s="28">
        <v>-2776253.07</v>
      </c>
      <c r="AA41" s="164">
        <v>-1557749.29</v>
      </c>
      <c r="AB41" s="30">
        <v>-5077284.3609449947</v>
      </c>
      <c r="AC41" s="29">
        <v>-3986394.09</v>
      </c>
      <c r="AD41" s="28">
        <v>-2925762.4300000034</v>
      </c>
      <c r="AE41" s="164">
        <v>-1569162.8199999933</v>
      </c>
      <c r="AF41" s="28">
        <v>-6311184.4100000057</v>
      </c>
      <c r="AG41" s="29">
        <v>-5120661.1200000057</v>
      </c>
      <c r="AH41" s="28">
        <v>-3385382.8800000087</v>
      </c>
      <c r="AI41" s="164">
        <v>-1276507.8700000043</v>
      </c>
      <c r="AJ41" s="28">
        <v>-7229463.9899999946</v>
      </c>
      <c r="AK41" s="29">
        <v>-5216236.4799999977</v>
      </c>
      <c r="AL41" s="28">
        <v>-3557959.15</v>
      </c>
      <c r="AM41" s="164">
        <v>-1510697.32</v>
      </c>
      <c r="AN41" s="28">
        <v>-5867191.8799999999</v>
      </c>
      <c r="AO41" s="29">
        <v>-4421320.42</v>
      </c>
      <c r="AP41" s="28">
        <v>-2216170.65</v>
      </c>
      <c r="AQ41" s="164">
        <v>-738871.83</v>
      </c>
      <c r="AR41" s="28">
        <v>-9636715.6400000006</v>
      </c>
      <c r="AS41" s="29">
        <v>-2337576.75</v>
      </c>
      <c r="AT41" s="28">
        <v>-3436025.27</v>
      </c>
      <c r="AU41" s="55">
        <v>-144443.45000000001</v>
      </c>
      <c r="AV41" s="28">
        <v>-2689115.97</v>
      </c>
      <c r="AW41" s="29">
        <v>-969480.07</v>
      </c>
      <c r="AX41" s="28">
        <v>-1449454.04</v>
      </c>
      <c r="AY41" s="55">
        <v>-1139943.8899999999</v>
      </c>
      <c r="AZ41" s="28">
        <v>-2449814.91</v>
      </c>
      <c r="BA41" s="29">
        <v>-2301332.11</v>
      </c>
      <c r="BB41" s="28">
        <v>-3558396.29</v>
      </c>
      <c r="BC41" s="257">
        <v>-1470557.03</v>
      </c>
      <c r="BD41" s="261">
        <f t="shared" si="76"/>
        <v>-1569162.8199999933</v>
      </c>
      <c r="BE41" s="29">
        <f t="shared" si="77"/>
        <v>-1190523.29</v>
      </c>
      <c r="BF41" s="28">
        <f t="shared" si="78"/>
        <v>-1735278.239999997</v>
      </c>
      <c r="BG41" s="29">
        <f t="shared" si="79"/>
        <v>-2108875.0100000044</v>
      </c>
      <c r="BH41" s="261">
        <f t="shared" si="80"/>
        <v>-1276507.8700000043</v>
      </c>
      <c r="BI41" s="29">
        <f t="shared" si="81"/>
        <v>-2013227.509999997</v>
      </c>
      <c r="BJ41" s="28">
        <f t="shared" si="82"/>
        <v>-1658277.3299999977</v>
      </c>
      <c r="BK41" s="29">
        <f t="shared" si="83"/>
        <v>-2047261.8299999998</v>
      </c>
      <c r="BL41" s="261">
        <v>-1510697.32</v>
      </c>
      <c r="BM41" s="226">
        <f t="shared" si="84"/>
        <v>-1445871.46</v>
      </c>
      <c r="BN41" s="28">
        <f t="shared" si="85"/>
        <v>-2205149.77</v>
      </c>
      <c r="BO41" s="29">
        <f t="shared" si="86"/>
        <v>-1477298.8199999998</v>
      </c>
      <c r="BP41" s="157">
        <v>-738871.83</v>
      </c>
      <c r="BQ41" s="29">
        <v>-7299138.8900000006</v>
      </c>
      <c r="BR41" s="28">
        <v>1098448.52</v>
      </c>
      <c r="BS41" s="29">
        <v>-3291581.82</v>
      </c>
      <c r="BT41" s="157">
        <v>-144443.45000000001</v>
      </c>
      <c r="BU41" s="29">
        <v>-1719635.9000000004</v>
      </c>
      <c r="BV41" s="28">
        <v>479973.97000000009</v>
      </c>
      <c r="BW41" s="29">
        <v>-309510.15000000014</v>
      </c>
      <c r="BX41" s="158">
        <v>-1139943.8899999999</v>
      </c>
      <c r="BY41" s="29">
        <v>-148482.80000000028</v>
      </c>
      <c r="BZ41" s="28">
        <v>1257064.1800000002</v>
      </c>
      <c r="CA41" s="29">
        <v>-2087839.26</v>
      </c>
      <c r="CB41" s="28">
        <v>-1470557.03</v>
      </c>
    </row>
    <row r="42" spans="1:80" ht="27.9" customHeight="1">
      <c r="A42" s="22" t="s">
        <v>101</v>
      </c>
      <c r="B42" s="28">
        <v>-88854.79</v>
      </c>
      <c r="C42" s="164">
        <v>-45796.31</v>
      </c>
      <c r="D42" s="28">
        <v>-860401.36000000022</v>
      </c>
      <c r="E42" s="488">
        <v>739158.56</v>
      </c>
      <c r="F42" s="28">
        <v>340160.84</v>
      </c>
      <c r="G42" s="164">
        <v>84824.48</v>
      </c>
      <c r="H42" s="28">
        <v>-3538239.0000000009</v>
      </c>
      <c r="I42" s="488">
        <v>-2091278.6099999999</v>
      </c>
      <c r="J42" s="28">
        <v>-1955739.42</v>
      </c>
      <c r="K42" s="164">
        <v>-782633.16</v>
      </c>
      <c r="L42" s="28">
        <v>-2933338.79</v>
      </c>
      <c r="M42" s="488">
        <v>-1578658.01</v>
      </c>
      <c r="N42" s="28">
        <v>-902322.53</v>
      </c>
      <c r="O42" s="164">
        <v>-312742.02</v>
      </c>
      <c r="P42" s="28">
        <v>-952357.91</v>
      </c>
      <c r="Q42" s="488">
        <v>-614714.36</v>
      </c>
      <c r="R42" s="28">
        <v>-447831.51</v>
      </c>
      <c r="S42" s="164">
        <v>-214933.29</v>
      </c>
      <c r="T42" s="28">
        <v>-1372175.1</v>
      </c>
      <c r="U42" s="488">
        <v>-914486.58</v>
      </c>
      <c r="V42" s="28">
        <v>-714513.18</v>
      </c>
      <c r="W42" s="164">
        <v>-368531.13</v>
      </c>
      <c r="X42" s="28">
        <v>-2277714.2200000002</v>
      </c>
      <c r="Y42" s="488">
        <v>-1793509.67</v>
      </c>
      <c r="Z42" s="28">
        <v>-1225917.25</v>
      </c>
      <c r="AA42" s="164">
        <v>-568806.41</v>
      </c>
      <c r="AB42" s="30">
        <v>-2719974.0400000005</v>
      </c>
      <c r="AC42" s="29">
        <v>-1854719.16</v>
      </c>
      <c r="AD42" s="28">
        <v>-1236771.71</v>
      </c>
      <c r="AE42" s="164">
        <v>-616266.02</v>
      </c>
      <c r="AF42" s="28">
        <v>-2338083.2800000003</v>
      </c>
      <c r="AG42" s="29">
        <v>-1681262.7400000002</v>
      </c>
      <c r="AH42" s="28">
        <v>-1163216.99</v>
      </c>
      <c r="AI42" s="164">
        <v>-578386.5199999999</v>
      </c>
      <c r="AJ42" s="28">
        <v>-1796285.3200000003</v>
      </c>
      <c r="AK42" s="29">
        <v>-1634019.57</v>
      </c>
      <c r="AL42" s="28">
        <v>-1075851</v>
      </c>
      <c r="AM42" s="164">
        <v>-499967.19</v>
      </c>
      <c r="AN42" s="28">
        <v>-2166631.71</v>
      </c>
      <c r="AO42" s="29">
        <v>-1618085.53</v>
      </c>
      <c r="AP42" s="28">
        <v>-1089777.01</v>
      </c>
      <c r="AQ42" s="164">
        <v>-570350.43999999994</v>
      </c>
      <c r="AR42" s="28">
        <v>-2629772.65</v>
      </c>
      <c r="AS42" s="29">
        <v>-1991111.58</v>
      </c>
      <c r="AT42" s="28">
        <v>-1328696.42</v>
      </c>
      <c r="AU42" s="55">
        <v>-638565.14</v>
      </c>
      <c r="AV42" s="28">
        <v>-2776485.8</v>
      </c>
      <c r="AW42" s="29">
        <v>-2121378.62</v>
      </c>
      <c r="AX42" s="28">
        <v>-1523677.06</v>
      </c>
      <c r="AY42" s="55">
        <v>-777361.7</v>
      </c>
      <c r="AZ42" s="28">
        <v>-3620897.11</v>
      </c>
      <c r="BA42" s="29">
        <v>-2794260.41</v>
      </c>
      <c r="BB42" s="28">
        <v>-1922402.15</v>
      </c>
      <c r="BC42" s="257">
        <v>-914984.46</v>
      </c>
      <c r="BD42" s="261">
        <f t="shared" si="76"/>
        <v>-616266.02</v>
      </c>
      <c r="BE42" s="29">
        <f t="shared" si="77"/>
        <v>-656820.54</v>
      </c>
      <c r="BF42" s="28">
        <f t="shared" si="78"/>
        <v>-518045.75000000023</v>
      </c>
      <c r="BG42" s="29">
        <f t="shared" si="79"/>
        <v>-584830.47000000009</v>
      </c>
      <c r="BH42" s="261">
        <f t="shared" si="80"/>
        <v>-578386.5199999999</v>
      </c>
      <c r="BI42" s="29">
        <f t="shared" si="81"/>
        <v>-162265.75000000023</v>
      </c>
      <c r="BJ42" s="28">
        <f t="shared" si="82"/>
        <v>-558168.57000000007</v>
      </c>
      <c r="BK42" s="29">
        <f t="shared" si="83"/>
        <v>-575883.81000000006</v>
      </c>
      <c r="BL42" s="261">
        <v>-499967.19</v>
      </c>
      <c r="BM42" s="226">
        <f t="shared" si="84"/>
        <v>-548546.17999999993</v>
      </c>
      <c r="BN42" s="28">
        <f t="shared" si="85"/>
        <v>-528308.52</v>
      </c>
      <c r="BO42" s="29">
        <f t="shared" si="86"/>
        <v>-519426.57000000007</v>
      </c>
      <c r="BP42" s="157">
        <v>-570350.43999999994</v>
      </c>
      <c r="BQ42" s="29">
        <v>-638661.06999999983</v>
      </c>
      <c r="BR42" s="28">
        <v>-662415.16000000015</v>
      </c>
      <c r="BS42" s="29">
        <v>-690131.27999999991</v>
      </c>
      <c r="BT42" s="157">
        <v>-638565.14</v>
      </c>
      <c r="BU42" s="29">
        <v>-655107.1799999997</v>
      </c>
      <c r="BV42" s="28">
        <v>-597701.56000000006</v>
      </c>
      <c r="BW42" s="29">
        <v>-746315.3600000001</v>
      </c>
      <c r="BX42" s="158">
        <v>-777361.7</v>
      </c>
      <c r="BY42" s="29">
        <v>-826636.69999999972</v>
      </c>
      <c r="BZ42" s="28">
        <v>-871858.26000000024</v>
      </c>
      <c r="CA42" s="29">
        <v>-1007417.69</v>
      </c>
      <c r="CB42" s="28">
        <v>-914984.46</v>
      </c>
    </row>
    <row r="43" spans="1:80" ht="27.9" customHeight="1">
      <c r="A43" s="22" t="s">
        <v>133</v>
      </c>
      <c r="B43" s="28">
        <v>766160.31</v>
      </c>
      <c r="C43" s="164">
        <v>289104.82</v>
      </c>
      <c r="D43" s="28">
        <v>4182299.86</v>
      </c>
      <c r="E43" s="488">
        <v>3232374.87</v>
      </c>
      <c r="F43" s="28">
        <v>3211669.81</v>
      </c>
      <c r="G43" s="164">
        <v>1044556.62</v>
      </c>
      <c r="H43" s="28">
        <v>1673865.72</v>
      </c>
      <c r="I43" s="488">
        <v>1673865.72</v>
      </c>
      <c r="J43" s="28">
        <v>89757.79</v>
      </c>
      <c r="K43" s="164">
        <v>89757.79</v>
      </c>
      <c r="L43" s="28">
        <v>2938511.58</v>
      </c>
      <c r="M43" s="488">
        <v>112433.03</v>
      </c>
      <c r="N43" s="28">
        <v>108431.8</v>
      </c>
      <c r="O43" s="164">
        <v>80000</v>
      </c>
      <c r="P43" s="28">
        <v>5839307.79</v>
      </c>
      <c r="Q43" s="488">
        <v>1472086.37</v>
      </c>
      <c r="R43" s="28">
        <v>1313490.01</v>
      </c>
      <c r="S43" s="164">
        <v>498884.91</v>
      </c>
      <c r="T43" s="28">
        <v>5381218.46</v>
      </c>
      <c r="U43" s="488">
        <v>4937205.78</v>
      </c>
      <c r="V43" s="28">
        <v>4216724.5999999996</v>
      </c>
      <c r="W43" s="164">
        <v>51026.1</v>
      </c>
      <c r="X43" s="28">
        <v>1020294.5</v>
      </c>
      <c r="Y43" s="488">
        <v>816506.44</v>
      </c>
      <c r="Z43" s="28">
        <v>507706.32</v>
      </c>
      <c r="AA43" s="164">
        <v>56850</v>
      </c>
      <c r="AB43" s="30">
        <v>2456073.8199999998</v>
      </c>
      <c r="AC43" s="29">
        <v>1539552.22</v>
      </c>
      <c r="AD43" s="28">
        <v>1322813.76</v>
      </c>
      <c r="AE43" s="164">
        <v>3339.94</v>
      </c>
      <c r="AF43" s="28">
        <v>5916382.6799999997</v>
      </c>
      <c r="AG43" s="29">
        <v>88160</v>
      </c>
      <c r="AH43" s="28">
        <v>88160</v>
      </c>
      <c r="AI43" s="164">
        <v>0</v>
      </c>
      <c r="AJ43" s="28">
        <v>0</v>
      </c>
      <c r="AK43" s="29">
        <v>69750</v>
      </c>
      <c r="AL43" s="28">
        <v>66625</v>
      </c>
      <c r="AM43" s="164">
        <v>66625</v>
      </c>
      <c r="AN43" s="28"/>
      <c r="AO43" s="29"/>
      <c r="AP43" s="28"/>
      <c r="AQ43" s="164">
        <v>0</v>
      </c>
      <c r="AR43" s="28">
        <v>0</v>
      </c>
      <c r="AS43" s="29"/>
      <c r="AT43" s="28"/>
      <c r="AU43" s="55">
        <v>0</v>
      </c>
      <c r="AV43" s="28">
        <v>86233.5</v>
      </c>
      <c r="AW43" s="29">
        <v>85552.26</v>
      </c>
      <c r="AX43" s="28">
        <v>413.66</v>
      </c>
      <c r="AY43" s="55">
        <v>938.36</v>
      </c>
      <c r="AZ43" s="28">
        <v>5598.4</v>
      </c>
      <c r="BA43" s="29">
        <v>124839.1</v>
      </c>
      <c r="BB43" s="28">
        <v>12574.15</v>
      </c>
      <c r="BC43" s="257">
        <v>6080.73</v>
      </c>
      <c r="BD43" s="261">
        <f t="shared" si="76"/>
        <v>3339.94</v>
      </c>
      <c r="BE43" s="29">
        <f t="shared" si="77"/>
        <v>5828222.6799999997</v>
      </c>
      <c r="BF43" s="28">
        <f t="shared" si="78"/>
        <v>0</v>
      </c>
      <c r="BG43" s="29">
        <f t="shared" si="79"/>
        <v>88160</v>
      </c>
      <c r="BH43" s="261">
        <f t="shared" si="80"/>
        <v>0</v>
      </c>
      <c r="BI43" s="29">
        <f t="shared" si="81"/>
        <v>-69750</v>
      </c>
      <c r="BJ43" s="28">
        <f t="shared" si="82"/>
        <v>3125</v>
      </c>
      <c r="BK43" s="29">
        <f t="shared" si="83"/>
        <v>0</v>
      </c>
      <c r="BL43" s="261">
        <v>66625</v>
      </c>
      <c r="BM43" s="226">
        <f t="shared" si="84"/>
        <v>0</v>
      </c>
      <c r="BN43" s="28">
        <f t="shared" si="85"/>
        <v>0</v>
      </c>
      <c r="BO43" s="29">
        <f t="shared" si="86"/>
        <v>0</v>
      </c>
      <c r="BP43" s="157">
        <v>0</v>
      </c>
      <c r="BQ43" s="29">
        <v>0</v>
      </c>
      <c r="BR43" s="28">
        <v>0</v>
      </c>
      <c r="BS43" s="29">
        <v>0</v>
      </c>
      <c r="BT43" s="157">
        <v>0</v>
      </c>
      <c r="BU43" s="29">
        <v>681.24000000000524</v>
      </c>
      <c r="BV43" s="28">
        <v>85138.599999999991</v>
      </c>
      <c r="BW43" s="29">
        <v>-524.70000000000005</v>
      </c>
      <c r="BX43" s="158">
        <v>938.36</v>
      </c>
      <c r="BY43" s="29">
        <v>-119240.70000000001</v>
      </c>
      <c r="BZ43" s="28">
        <v>112264.95000000001</v>
      </c>
      <c r="CA43" s="29">
        <v>6493.42</v>
      </c>
      <c r="CB43" s="28">
        <v>6080.73</v>
      </c>
    </row>
    <row r="44" spans="1:80" ht="27.9" customHeight="1">
      <c r="A44" s="22" t="s">
        <v>132</v>
      </c>
      <c r="B44" s="28">
        <v>-75590.759999999995</v>
      </c>
      <c r="C44" s="164">
        <v>0</v>
      </c>
      <c r="D44" s="28">
        <v>-81450</v>
      </c>
      <c r="E44" s="488">
        <v>-19200</v>
      </c>
      <c r="F44" s="28">
        <v>-19200</v>
      </c>
      <c r="G44" s="164">
        <v>0</v>
      </c>
      <c r="H44" s="28">
        <v>0</v>
      </c>
      <c r="I44" s="488">
        <v>0</v>
      </c>
      <c r="J44" s="28">
        <v>0</v>
      </c>
      <c r="K44" s="164">
        <v>0</v>
      </c>
      <c r="L44" s="28">
        <v>-962238.29</v>
      </c>
      <c r="M44" s="488">
        <v>-816352.73</v>
      </c>
      <c r="N44" s="28">
        <v>-398152.73</v>
      </c>
      <c r="O44" s="164">
        <f>-23533.96-0.01</f>
        <v>-23533.969999999998</v>
      </c>
      <c r="P44" s="28">
        <v>-123450.86</v>
      </c>
      <c r="Q44" s="488">
        <v>-39750.86</v>
      </c>
      <c r="R44" s="28">
        <v>-62157.46</v>
      </c>
      <c r="S44" s="164">
        <v>-62157.46</v>
      </c>
      <c r="T44" s="28">
        <v>-103513.9</v>
      </c>
      <c r="U44" s="488">
        <v>-68300.08</v>
      </c>
      <c r="V44" s="28">
        <v>-56446.05</v>
      </c>
      <c r="W44" s="164">
        <v>-20433.55</v>
      </c>
      <c r="X44" s="28">
        <v>-517093.07</v>
      </c>
      <c r="Y44" s="488">
        <v>-486759.07</v>
      </c>
      <c r="Z44" s="28">
        <v>-427745.96</v>
      </c>
      <c r="AA44" s="164">
        <v>-262589.05</v>
      </c>
      <c r="AB44" s="30">
        <v>-457117.18</v>
      </c>
      <c r="AC44" s="29">
        <v>-409697.85</v>
      </c>
      <c r="AD44" s="28">
        <v>-409697.85</v>
      </c>
      <c r="AE44" s="164">
        <v>-268255.84999999998</v>
      </c>
      <c r="AF44" s="28">
        <v>-1125143.1200000001</v>
      </c>
      <c r="AG44" s="29">
        <v>-91331.67</v>
      </c>
      <c r="AH44" s="28">
        <v>0</v>
      </c>
      <c r="AI44" s="164">
        <v>0</v>
      </c>
      <c r="AJ44" s="28">
        <v>0</v>
      </c>
      <c r="AK44" s="29">
        <v>-74750.000000000524</v>
      </c>
      <c r="AL44" s="28">
        <v>0</v>
      </c>
      <c r="AM44" s="164"/>
      <c r="AN44" s="28"/>
      <c r="AO44" s="29"/>
      <c r="AP44" s="28"/>
      <c r="AQ44" s="164">
        <v>0</v>
      </c>
      <c r="AR44" s="28"/>
      <c r="AS44" s="29"/>
      <c r="AT44" s="28"/>
      <c r="AU44" s="55">
        <v>-4986.04</v>
      </c>
      <c r="AV44" s="28">
        <v>0</v>
      </c>
      <c r="AW44" s="29"/>
      <c r="AX44" s="28"/>
      <c r="AY44" s="55"/>
      <c r="AZ44" s="28">
        <v>0</v>
      </c>
      <c r="BA44" s="29"/>
      <c r="BB44" s="28"/>
      <c r="BC44" s="257"/>
      <c r="BD44" s="261">
        <f t="shared" si="76"/>
        <v>-268255.84999999998</v>
      </c>
      <c r="BE44" s="29">
        <f t="shared" si="77"/>
        <v>-1033811.4500000001</v>
      </c>
      <c r="BF44" s="28">
        <f t="shared" si="78"/>
        <v>-91331.67</v>
      </c>
      <c r="BG44" s="29">
        <f t="shared" si="79"/>
        <v>0</v>
      </c>
      <c r="BH44" s="261">
        <f t="shared" si="80"/>
        <v>0</v>
      </c>
      <c r="BI44" s="29">
        <f t="shared" si="81"/>
        <v>74750.000000000524</v>
      </c>
      <c r="BJ44" s="28">
        <f t="shared" si="82"/>
        <v>-74750.000000000524</v>
      </c>
      <c r="BK44" s="29">
        <f t="shared" si="83"/>
        <v>0</v>
      </c>
      <c r="BL44" s="261"/>
      <c r="BM44" s="226">
        <f t="shared" si="84"/>
        <v>0</v>
      </c>
      <c r="BN44" s="28">
        <f t="shared" si="85"/>
        <v>0</v>
      </c>
      <c r="BO44" s="29">
        <f t="shared" si="86"/>
        <v>0</v>
      </c>
      <c r="BP44" s="157">
        <v>0</v>
      </c>
      <c r="BQ44" s="29">
        <v>0</v>
      </c>
      <c r="BR44" s="28">
        <v>0</v>
      </c>
      <c r="BS44" s="29">
        <v>4986.04</v>
      </c>
      <c r="BT44" s="157">
        <v>-4986.04</v>
      </c>
      <c r="BU44" s="29">
        <v>0</v>
      </c>
      <c r="BV44" s="28">
        <v>0</v>
      </c>
      <c r="BW44" s="29">
        <v>0</v>
      </c>
      <c r="BX44" s="158"/>
      <c r="BY44" s="29">
        <v>0</v>
      </c>
      <c r="BZ44" s="28">
        <v>0</v>
      </c>
      <c r="CA44" s="29">
        <v>0</v>
      </c>
      <c r="CB44" s="28"/>
    </row>
    <row r="45" spans="1:80" ht="27.9" customHeight="1">
      <c r="A45" s="21" t="s">
        <v>102</v>
      </c>
      <c r="B45" s="31">
        <f>SUM(B39:B44)</f>
        <v>4933839.17</v>
      </c>
      <c r="C45" s="195">
        <f>SUM(C39:C44)</f>
        <v>-56137.290000000037</v>
      </c>
      <c r="D45" s="31">
        <f t="shared" ref="D45" si="87">SUM(D39:D44)</f>
        <v>-9816239.9100000076</v>
      </c>
      <c r="E45" s="491">
        <f>SUM(E39:E44)</f>
        <v>-8295639.1199999982</v>
      </c>
      <c r="F45" s="31">
        <f>SUM(F39:F44)</f>
        <v>862767.39999999991</v>
      </c>
      <c r="G45" s="195">
        <f>SUM(G39:G44)</f>
        <v>-1270373.8599999999</v>
      </c>
      <c r="H45" s="31">
        <f t="shared" ref="H45" si="88">SUM(H39:H44)</f>
        <v>-20222605.633849975</v>
      </c>
      <c r="I45" s="491">
        <f>SUM(I39:I44)</f>
        <v>-17105090.090559993</v>
      </c>
      <c r="J45" s="31">
        <f>SUM(J39:J44)</f>
        <v>-18048685.590000004</v>
      </c>
      <c r="K45" s="195">
        <f>SUM(K39:K44)</f>
        <v>8382189.2399999993</v>
      </c>
      <c r="L45" s="31">
        <f t="shared" ref="L45" si="89">SUM(L39:L44)</f>
        <v>5099318.6899999958</v>
      </c>
      <c r="M45" s="491">
        <f>SUM(M39:M44)-0.01</f>
        <v>13656362.869999997</v>
      </c>
      <c r="N45" s="31">
        <f>SUM(N39:N44)</f>
        <v>17872497.66</v>
      </c>
      <c r="O45" s="195">
        <f>SUM(O39:O44)</f>
        <v>18703276.390000001</v>
      </c>
      <c r="P45" s="31">
        <f t="shared" ref="P45" si="90">SUM(P39:P44)</f>
        <v>-24899037.990000002</v>
      </c>
      <c r="Q45" s="491">
        <f t="shared" ref="Q45" si="91">SUM(Q39:Q44)</f>
        <v>-14240215.690000001</v>
      </c>
      <c r="R45" s="31">
        <f t="shared" ref="R45" si="92">SUM(R39:R44)</f>
        <v>-5707624.96</v>
      </c>
      <c r="S45" s="195">
        <f>SUM(S39:S44)</f>
        <v>4448964.9000000004</v>
      </c>
      <c r="T45" s="31">
        <f t="shared" ref="T45" si="93">SUM(T39:T44)</f>
        <v>-15785992.480000006</v>
      </c>
      <c r="U45" s="491">
        <f t="shared" ref="U45" si="94">SUM(U39:U44)</f>
        <v>-27351926.499999993</v>
      </c>
      <c r="V45" s="31">
        <f t="shared" ref="V45" si="95">SUM(V39:V44)</f>
        <v>-11388179.300000006</v>
      </c>
      <c r="W45" s="195">
        <f t="shared" ref="W45" si="96">SUM(W39:W44)</f>
        <v>-6029979.7799999993</v>
      </c>
      <c r="X45" s="31">
        <f t="shared" ref="X45:Z45" si="97">SUM(X39:X44)</f>
        <v>-18080053.679999992</v>
      </c>
      <c r="Y45" s="491">
        <f t="shared" ref="Y45:AA45" si="98">SUM(Y39:Y44)</f>
        <v>1239014.9699999976</v>
      </c>
      <c r="Z45" s="31">
        <f t="shared" si="97"/>
        <v>5937997.1800000006</v>
      </c>
      <c r="AA45" s="195">
        <f t="shared" si="98"/>
        <v>4062666.16</v>
      </c>
      <c r="AB45" s="475">
        <f t="shared" ref="AB45:AE45" si="99">SUM(AB39:AB44)</f>
        <v>6015657.7255550148</v>
      </c>
      <c r="AC45" s="60">
        <f t="shared" si="99"/>
        <v>24013011.079999994</v>
      </c>
      <c r="AD45" s="31">
        <f t="shared" si="99"/>
        <v>18313201.469999995</v>
      </c>
      <c r="AE45" s="195">
        <f t="shared" si="99"/>
        <v>21846329.800000004</v>
      </c>
      <c r="AF45" s="31">
        <f t="shared" ref="AF45" si="100">SUM(AF39:AF44)</f>
        <v>11823371.04999999</v>
      </c>
      <c r="AG45" s="60">
        <f t="shared" ref="AG45" si="101">SUM(AG39:AG44)</f>
        <v>17687626.019999996</v>
      </c>
      <c r="AH45" s="31">
        <f t="shared" ref="AH45" si="102">SUM(AH39:AH44)</f>
        <v>9111788.7599999979</v>
      </c>
      <c r="AI45" s="195">
        <f t="shared" ref="AI45" si="103">SUM(AI39:AI44)</f>
        <v>12964664.699999999</v>
      </c>
      <c r="AJ45" s="31">
        <f t="shared" ref="AJ45" si="104">SUM(AJ39:AJ44)</f>
        <v>-18833138.659999996</v>
      </c>
      <c r="AK45" s="60">
        <f t="shared" ref="AK45:AP45" si="105">SUM(AK39:AK44)</f>
        <v>1418841.9799999974</v>
      </c>
      <c r="AL45" s="31">
        <f t="shared" si="105"/>
        <v>-2581266.6900000009</v>
      </c>
      <c r="AM45" s="195">
        <f t="shared" si="105"/>
        <v>13100220.76</v>
      </c>
      <c r="AN45" s="60">
        <f t="shared" si="105"/>
        <v>-12797931.940000001</v>
      </c>
      <c r="AO45" s="60">
        <f t="shared" si="105"/>
        <v>-8599273.1899999995</v>
      </c>
      <c r="AP45" s="31">
        <f t="shared" si="105"/>
        <v>-5285884.42</v>
      </c>
      <c r="AQ45" s="195">
        <v>4793060.47</v>
      </c>
      <c r="AR45" s="59">
        <v>-5856140.9100000001</v>
      </c>
      <c r="AS45" s="60">
        <v>-823451.59</v>
      </c>
      <c r="AT45" s="59">
        <v>5264956.34</v>
      </c>
      <c r="AU45" s="65">
        <v>7363369.3600000003</v>
      </c>
      <c r="AV45" s="59">
        <v>-6260733.9000000004</v>
      </c>
      <c r="AW45" s="60">
        <v>-10419650.189999999</v>
      </c>
      <c r="AX45" s="59">
        <v>-11525119.890000001</v>
      </c>
      <c r="AY45" s="65">
        <v>1281920.92</v>
      </c>
      <c r="AZ45" s="59">
        <v>-4584228.26</v>
      </c>
      <c r="BA45" s="60">
        <v>-7222393.3600000003</v>
      </c>
      <c r="BB45" s="59">
        <v>-6155824.9000000004</v>
      </c>
      <c r="BC45" s="256">
        <v>834886.37</v>
      </c>
      <c r="BD45" s="260">
        <f>SUM(BD39:BD44)</f>
        <v>21846329.800000004</v>
      </c>
      <c r="BE45" s="32">
        <f t="shared" si="77"/>
        <v>-5864254.9700000063</v>
      </c>
      <c r="BF45" s="59">
        <f>SUM(BF39:BF44)</f>
        <v>8575837.2600000016</v>
      </c>
      <c r="BG45" s="32">
        <f t="shared" si="79"/>
        <v>-3852875.9400000013</v>
      </c>
      <c r="BH45" s="260">
        <f>SUM(BH39:BH44)</f>
        <v>12964664.699999999</v>
      </c>
      <c r="BI45" s="32">
        <f t="shared" si="81"/>
        <v>-20251980.639999993</v>
      </c>
      <c r="BJ45" s="59">
        <f>SUM(BJ39:BJ44)</f>
        <v>4000108.6699999976</v>
      </c>
      <c r="BK45" s="32">
        <f t="shared" si="83"/>
        <v>-15681487.450000001</v>
      </c>
      <c r="BL45" s="260">
        <f>SUM(BL39:BL44)</f>
        <v>13100220.76</v>
      </c>
      <c r="BM45" s="225">
        <f>SUM(BM39:BM44)</f>
        <v>-4198658.7499999991</v>
      </c>
      <c r="BN45" s="59">
        <f>SUM(BN39:BN44)</f>
        <v>-3313388.7700000005</v>
      </c>
      <c r="BO45" s="32">
        <f t="shared" si="86"/>
        <v>-10078944.890000001</v>
      </c>
      <c r="BP45" s="152">
        <v>4793060.47</v>
      </c>
      <c r="BQ45" s="32">
        <v>-5032689.32</v>
      </c>
      <c r="BR45" s="59">
        <v>-6088407.9299999997</v>
      </c>
      <c r="BS45" s="60">
        <v>-2098413.0200000005</v>
      </c>
      <c r="BT45" s="152">
        <v>7363369.3600000003</v>
      </c>
      <c r="BU45" s="60">
        <v>4158916.2899999991</v>
      </c>
      <c r="BV45" s="59">
        <v>1105469.7000000011</v>
      </c>
      <c r="BW45" s="60">
        <v>-12807040.810000001</v>
      </c>
      <c r="BX45" s="153">
        <v>1281920.92</v>
      </c>
      <c r="BY45" s="60">
        <v>2638165.1000000006</v>
      </c>
      <c r="BZ45" s="59">
        <v>-1066568.46</v>
      </c>
      <c r="CA45" s="60">
        <v>-6990711.2700000005</v>
      </c>
      <c r="CB45" s="59">
        <v>834886.37</v>
      </c>
    </row>
    <row r="46" spans="1:80" ht="27.9" customHeight="1">
      <c r="A46" s="21"/>
      <c r="B46" s="31"/>
      <c r="C46" s="195"/>
      <c r="D46" s="31"/>
      <c r="E46" s="491"/>
      <c r="F46" s="31"/>
      <c r="G46" s="195"/>
      <c r="H46" s="31"/>
      <c r="I46" s="491"/>
      <c r="J46" s="31"/>
      <c r="K46" s="195"/>
      <c r="L46" s="31"/>
      <c r="M46" s="491"/>
      <c r="N46" s="31"/>
      <c r="O46" s="195"/>
      <c r="P46" s="31"/>
      <c r="Q46" s="491"/>
      <c r="R46" s="31"/>
      <c r="S46" s="195"/>
      <c r="T46" s="31"/>
      <c r="U46" s="491"/>
      <c r="V46" s="31"/>
      <c r="W46" s="195"/>
      <c r="X46" s="31"/>
      <c r="Y46" s="491"/>
      <c r="Z46" s="31"/>
      <c r="AA46" s="195"/>
      <c r="AB46" s="476"/>
      <c r="AC46" s="58"/>
      <c r="AD46" s="31"/>
      <c r="AE46" s="195"/>
      <c r="AF46" s="31"/>
      <c r="AG46" s="58"/>
      <c r="AH46" s="31"/>
      <c r="AI46" s="195"/>
      <c r="AJ46" s="31"/>
      <c r="AK46" s="58"/>
      <c r="AL46" s="31"/>
      <c r="AM46" s="195"/>
      <c r="AN46" s="31"/>
      <c r="AO46" s="58"/>
      <c r="AP46" s="31"/>
      <c r="AQ46" s="195"/>
      <c r="AR46" s="57"/>
      <c r="AS46" s="58"/>
      <c r="AT46" s="57"/>
      <c r="AU46" s="66"/>
      <c r="AV46" s="57"/>
      <c r="AW46" s="58"/>
      <c r="AX46" s="57"/>
      <c r="AY46" s="66"/>
      <c r="AZ46" s="57"/>
      <c r="BA46" s="58"/>
      <c r="BB46" s="57"/>
      <c r="BC46" s="258"/>
      <c r="BD46" s="260"/>
      <c r="BE46" s="58"/>
      <c r="BF46" s="59"/>
      <c r="BG46" s="58"/>
      <c r="BH46" s="260"/>
      <c r="BI46" s="58"/>
      <c r="BJ46" s="59"/>
      <c r="BK46" s="58"/>
      <c r="BL46" s="260"/>
      <c r="BM46" s="227"/>
      <c r="BN46" s="59"/>
      <c r="BO46" s="58"/>
      <c r="BP46" s="69"/>
      <c r="BQ46" s="32"/>
      <c r="BR46" s="59"/>
      <c r="BS46" s="60"/>
      <c r="BT46" s="69"/>
      <c r="BU46" s="60"/>
      <c r="BV46" s="59"/>
      <c r="BW46" s="60"/>
      <c r="BX46" s="154"/>
      <c r="BY46" s="60"/>
      <c r="BZ46" s="59"/>
      <c r="CA46" s="60"/>
      <c r="CB46" s="57"/>
    </row>
    <row r="47" spans="1:80" ht="27.9" customHeight="1">
      <c r="A47" s="21" t="s">
        <v>103</v>
      </c>
      <c r="B47" s="31">
        <f t="shared" ref="B47" si="106">SUM(B24,B36,B45)</f>
        <v>-103368905.35000001</v>
      </c>
      <c r="C47" s="195">
        <f t="shared" ref="C47" si="107">SUM(C24,C36,C45)</f>
        <v>-119159677.4070832</v>
      </c>
      <c r="D47" s="31">
        <f>SUM(D24,D36,D45)</f>
        <v>65867384.038818657</v>
      </c>
      <c r="E47" s="491">
        <f t="shared" ref="E47" si="108">SUM(E24,E36,E45)</f>
        <v>356691.1999999797</v>
      </c>
      <c r="F47" s="31">
        <f t="shared" ref="F47" si="109">SUM(F24,F36,F45)</f>
        <v>-5973477.9099999983</v>
      </c>
      <c r="G47" s="195">
        <f t="shared" ref="G47" si="110">SUM(G24,G36,G45)</f>
        <v>-33232078.479999997</v>
      </c>
      <c r="H47" s="31">
        <f>SUM(H24,H36,H45)</f>
        <v>86619716.703810573</v>
      </c>
      <c r="I47" s="491">
        <f t="shared" ref="I47" si="111">SUM(I24,I36,I45)</f>
        <v>12072774.389248017</v>
      </c>
      <c r="J47" s="31">
        <f t="shared" ref="J47" si="112">SUM(J24,J36,J45)</f>
        <v>7205402.4699999988</v>
      </c>
      <c r="K47" s="195">
        <f t="shared" ref="K47:P47" si="113">SUM(K24,K36,K45)</f>
        <v>-5564021.2399999937</v>
      </c>
      <c r="L47" s="31">
        <f t="shared" si="113"/>
        <v>2094127.4599999934</v>
      </c>
      <c r="M47" s="491">
        <f t="shared" si="113"/>
        <v>-5221361.1199999973</v>
      </c>
      <c r="N47" s="31">
        <f t="shared" si="113"/>
        <v>-1376012.8099999949</v>
      </c>
      <c r="O47" s="195">
        <f t="shared" si="113"/>
        <v>-3905792.8899999969</v>
      </c>
      <c r="P47" s="31">
        <f t="shared" si="113"/>
        <v>-3881074.8400000036</v>
      </c>
      <c r="Q47" s="491">
        <f>SUM(Q24,Q36,Q45)-0.01</f>
        <v>-5261766.99</v>
      </c>
      <c r="R47" s="31">
        <f>SUM(R24,R36,R45)</f>
        <v>-5028912.2200000016</v>
      </c>
      <c r="S47" s="195">
        <f>SUM(S24,S36,S45)</f>
        <v>-4598488.1099999975</v>
      </c>
      <c r="T47" s="31">
        <f>SUM(T24,T36,T45)</f>
        <v>2366145.0099999923</v>
      </c>
      <c r="U47" s="491">
        <f>SUM(U24,U36,U45)</f>
        <v>-5327981.3199999854</v>
      </c>
      <c r="V47" s="31">
        <f>SUM(V24,V36,V45)</f>
        <v>337185.70999999344</v>
      </c>
      <c r="W47" s="195">
        <f t="shared" ref="W47" si="114">SUM(W24,W36,W45)</f>
        <v>-8226875.7599999979</v>
      </c>
      <c r="X47" s="31">
        <f>SUM(X24,X36,X45)</f>
        <v>1203419.1200000048</v>
      </c>
      <c r="Y47" s="491">
        <f>SUM(Y24,Y36,Y45)</f>
        <v>-6822138.6000000015</v>
      </c>
      <c r="Z47" s="31">
        <f>SUM(Z24,Z36,Z45)</f>
        <v>-5107207.9199999934</v>
      </c>
      <c r="AA47" s="195">
        <f t="shared" ref="AA47:AE47" si="115">SUM(AA24,AA36,AA45)</f>
        <v>-6571702.7400000021</v>
      </c>
      <c r="AB47" s="475">
        <f t="shared" si="115"/>
        <v>5726674.5757562416</v>
      </c>
      <c r="AC47" s="60">
        <f t="shared" si="115"/>
        <v>-25802.050000011921</v>
      </c>
      <c r="AD47" s="31">
        <f t="shared" si="115"/>
        <v>1134217.2800000049</v>
      </c>
      <c r="AE47" s="195">
        <f t="shared" si="115"/>
        <v>-69262.239999998361</v>
      </c>
      <c r="AF47" s="31">
        <f>AF24+AF36+AF45</f>
        <v>3755.4499999806285</v>
      </c>
      <c r="AG47" s="60">
        <f>SUM(AG24,AG36,AG45)</f>
        <v>671159.01899996772</v>
      </c>
      <c r="AH47" s="31">
        <f>AH24+AH36+AH45</f>
        <v>-366138.50550763123</v>
      </c>
      <c r="AI47" s="195">
        <f>SUM(AI24,AI36,AI45)</f>
        <v>-1121534.3800000027</v>
      </c>
      <c r="AJ47" s="31">
        <f>AJ24+AJ36+AJ45</f>
        <v>-2552143.47000001</v>
      </c>
      <c r="AK47" s="60">
        <f>SUM(AK24,AK36,AK45)</f>
        <v>-3282710.1100000534</v>
      </c>
      <c r="AL47" s="31">
        <f>AL24+AL36+AL45</f>
        <v>-3076984.4500000156</v>
      </c>
      <c r="AM47" s="195">
        <f>SUM(AM24,AM36,AM45)</f>
        <v>-2802333.6200000066</v>
      </c>
      <c r="AN47" s="31">
        <f>AN24+AN36+AN45</f>
        <v>-15180.310000007972</v>
      </c>
      <c r="AO47" s="60">
        <f>SUM(AO24,AO36,AO45)</f>
        <v>71656.950000004843</v>
      </c>
      <c r="AP47" s="31">
        <f>AP24+AP36+AP45</f>
        <v>-1350837.1700000037</v>
      </c>
      <c r="AQ47" s="195">
        <v>-1847896.04</v>
      </c>
      <c r="AR47" s="59">
        <v>-1735903.83</v>
      </c>
      <c r="AS47" s="60">
        <v>-1898222.19</v>
      </c>
      <c r="AT47" s="59">
        <v>-341522.24</v>
      </c>
      <c r="AU47" s="65">
        <v>-2395834.88</v>
      </c>
      <c r="AV47" s="59">
        <v>3484028.05</v>
      </c>
      <c r="AW47" s="60">
        <v>-1212966.22</v>
      </c>
      <c r="AX47" s="59">
        <v>-2032386.75</v>
      </c>
      <c r="AY47" s="65">
        <v>-1487180.7</v>
      </c>
      <c r="AZ47" s="59">
        <v>-4313528.12</v>
      </c>
      <c r="BA47" s="60">
        <v>-6695652.2999999998</v>
      </c>
      <c r="BB47" s="59">
        <v>-4562934.45</v>
      </c>
      <c r="BC47" s="256">
        <v>-6265502.4299999997</v>
      </c>
      <c r="BD47" s="260">
        <f>SUM(BD24,BD36,BD45)</f>
        <v>-69262.239999998361</v>
      </c>
      <c r="BE47" s="32">
        <f>AF47-AG47</f>
        <v>-667403.5689999871</v>
      </c>
      <c r="BF47" s="59">
        <f>SUM(BF24,BF36,BF45)</f>
        <v>1037297.5245076027</v>
      </c>
      <c r="BG47" s="32">
        <f>AH47-AI47</f>
        <v>755395.87449237145</v>
      </c>
      <c r="BH47" s="260">
        <f>SUM(BH24,BH36,BH45)</f>
        <v>-1121534.3800000027</v>
      </c>
      <c r="BI47" s="32">
        <f>AJ47-AK47</f>
        <v>730566.64000004344</v>
      </c>
      <c r="BJ47" s="59">
        <f>SUM(BJ24,BJ36,BJ45)</f>
        <v>-205725.66000004346</v>
      </c>
      <c r="BK47" s="32">
        <f>AL47-AM47</f>
        <v>-274650.83000000892</v>
      </c>
      <c r="BL47" s="260">
        <f>SUM(BL24,BL36,BL45)</f>
        <v>-2802333.6200000066</v>
      </c>
      <c r="BM47" s="225">
        <f>BM24+BM36+BM45</f>
        <v>-86837.260000006296</v>
      </c>
      <c r="BN47" s="59">
        <f>SUM(BN24,BN36,BN45)</f>
        <v>1422494.1200000057</v>
      </c>
      <c r="BO47" s="32">
        <f t="shared" si="86"/>
        <v>497058.86999999639</v>
      </c>
      <c r="BP47" s="152">
        <v>-1847896.04</v>
      </c>
      <c r="BQ47" s="32">
        <v>162318.35999999987</v>
      </c>
      <c r="BR47" s="59">
        <v>-1556699.95</v>
      </c>
      <c r="BS47" s="60">
        <v>2054312.64</v>
      </c>
      <c r="BT47" s="152">
        <v>-2395834.88</v>
      </c>
      <c r="BU47" s="60">
        <v>4696994.2699999996</v>
      </c>
      <c r="BV47" s="59">
        <v>819420.53</v>
      </c>
      <c r="BW47" s="60">
        <v>-545206.05000000005</v>
      </c>
      <c r="BX47" s="153">
        <v>-1487180.7</v>
      </c>
      <c r="BY47" s="60">
        <v>2382124.1799999997</v>
      </c>
      <c r="BZ47" s="59">
        <v>-2132717.8499999996</v>
      </c>
      <c r="CA47" s="60">
        <v>1702567.9799999995</v>
      </c>
      <c r="CB47" s="59">
        <v>-6265502.4299999997</v>
      </c>
    </row>
    <row r="48" spans="1:80" ht="42">
      <c r="A48" s="67" t="s">
        <v>104</v>
      </c>
      <c r="B48" s="196">
        <v>-109574.46</v>
      </c>
      <c r="C48" s="164">
        <v>-52954.01</v>
      </c>
      <c r="D48" s="196">
        <v>-9824.0400000000009</v>
      </c>
      <c r="E48" s="488">
        <v>-32134.51</v>
      </c>
      <c r="F48" s="196">
        <v>-34538.82</v>
      </c>
      <c r="G48" s="164">
        <v>-36428.39</v>
      </c>
      <c r="H48" s="196">
        <v>-23745.39</v>
      </c>
      <c r="I48" s="488">
        <v>1676964.96</v>
      </c>
      <c r="J48" s="196">
        <f>726386.16+0.01</f>
        <v>726386.17</v>
      </c>
      <c r="K48" s="164">
        <v>-17204.03</v>
      </c>
      <c r="L48" s="196">
        <f>-21941.24+0.01</f>
        <v>-21941.230000000003</v>
      </c>
      <c r="M48" s="488">
        <v>-4345.04</v>
      </c>
      <c r="N48" s="196">
        <f>-92247.22+0.01</f>
        <v>-92247.21</v>
      </c>
      <c r="O48" s="164">
        <f>-38543.63+0.01</f>
        <v>-38543.619999999995</v>
      </c>
      <c r="P48" s="196">
        <f>475652.33+0.01</f>
        <v>475652.34</v>
      </c>
      <c r="Q48" s="488">
        <v>381143.67</v>
      </c>
      <c r="R48" s="196">
        <v>411625.48</v>
      </c>
      <c r="S48" s="164">
        <v>-32884.6</v>
      </c>
      <c r="T48" s="196">
        <v>-473265.95</v>
      </c>
      <c r="U48" s="488">
        <v>-420698.16</v>
      </c>
      <c r="V48" s="196">
        <v>-474445.55</v>
      </c>
      <c r="W48" s="164">
        <v>-241984.06</v>
      </c>
      <c r="X48" s="196">
        <v>288839.49</v>
      </c>
      <c r="Y48" s="488">
        <v>192277.08</v>
      </c>
      <c r="Z48" s="196">
        <v>154771.13</v>
      </c>
      <c r="AA48" s="164">
        <v>26753.01</v>
      </c>
      <c r="AB48" s="390">
        <v>-54627.99</v>
      </c>
      <c r="AC48" s="58">
        <v>-39702.730000000003</v>
      </c>
      <c r="AD48" s="196">
        <v>-4147.6900000000005</v>
      </c>
      <c r="AE48" s="164">
        <v>-5535.1500000000005</v>
      </c>
      <c r="AF48" s="196">
        <v>10453.49</v>
      </c>
      <c r="AG48" s="58">
        <v>461574.82</v>
      </c>
      <c r="AH48" s="196">
        <v>-259</v>
      </c>
      <c r="AI48" s="164">
        <v>10988.07</v>
      </c>
      <c r="AJ48" s="196">
        <v>165833.81999999998</v>
      </c>
      <c r="AK48" s="58">
        <v>-28203.909999999996</v>
      </c>
      <c r="AL48" s="196">
        <v>6691.1</v>
      </c>
      <c r="AM48" s="164">
        <v>145083.04</v>
      </c>
      <c r="AN48" s="196">
        <v>169359.37</v>
      </c>
      <c r="AO48" s="58">
        <v>67213.350000000006</v>
      </c>
      <c r="AP48" s="196">
        <v>8389.9500000000007</v>
      </c>
      <c r="AQ48" s="164">
        <v>2327.5</v>
      </c>
      <c r="AR48" s="57">
        <v>-143506.12</v>
      </c>
      <c r="AS48" s="58">
        <v>44381.9</v>
      </c>
      <c r="AT48" s="57">
        <v>42592.54</v>
      </c>
      <c r="AU48" s="66">
        <v>-6761.71</v>
      </c>
      <c r="AV48" s="57">
        <v>-42608.17</v>
      </c>
      <c r="AW48" s="58">
        <v>4090.14</v>
      </c>
      <c r="AX48" s="57">
        <v>3844.26</v>
      </c>
      <c r="AY48" s="66">
        <v>4888.84</v>
      </c>
      <c r="AZ48" s="57">
        <v>-2687.72</v>
      </c>
      <c r="BA48" s="58">
        <v>-1688.02</v>
      </c>
      <c r="BB48" s="57">
        <v>-20585.98</v>
      </c>
      <c r="BC48" s="258">
        <v>39.630000000000003</v>
      </c>
      <c r="BD48" s="261">
        <f t="shared" ref="BD48" si="116">AE48</f>
        <v>-5535.1500000000005</v>
      </c>
      <c r="BE48" s="29">
        <f>AF48-AG48</f>
        <v>-451121.33</v>
      </c>
      <c r="BF48" s="28">
        <f t="shared" ref="BF48" si="117">AG48-AH48</f>
        <v>461833.82</v>
      </c>
      <c r="BG48" s="29">
        <f>AH48-AI48</f>
        <v>-11247.07</v>
      </c>
      <c r="BH48" s="261">
        <f t="shared" ref="BH48" si="118">AI48</f>
        <v>10988.07</v>
      </c>
      <c r="BI48" s="29">
        <f>AJ48-AK48</f>
        <v>194037.72999999998</v>
      </c>
      <c r="BJ48" s="28">
        <f t="shared" ref="BJ48" si="119">AK48-AL48</f>
        <v>-34895.009999999995</v>
      </c>
      <c r="BK48" s="29">
        <f>AL48-AM48</f>
        <v>-138391.94</v>
      </c>
      <c r="BL48" s="261">
        <v>145083.04</v>
      </c>
      <c r="BM48" s="226">
        <f t="shared" ref="BM48" si="120">AN48-AO48</f>
        <v>102146.01999999999</v>
      </c>
      <c r="BN48" s="28">
        <f t="shared" ref="BN48" si="121">AO48-AP48</f>
        <v>58823.400000000009</v>
      </c>
      <c r="BO48" s="29">
        <f t="shared" si="86"/>
        <v>6062.4500000000007</v>
      </c>
      <c r="BP48" s="69">
        <v>2327.5</v>
      </c>
      <c r="BQ48" s="32">
        <v>-187888.02</v>
      </c>
      <c r="BR48" s="59">
        <v>1789.3600000000006</v>
      </c>
      <c r="BS48" s="60">
        <v>49354.25</v>
      </c>
      <c r="BT48" s="69">
        <v>-6761.71</v>
      </c>
      <c r="BU48" s="60">
        <v>-46698.31</v>
      </c>
      <c r="BV48" s="59">
        <v>245.87999999999965</v>
      </c>
      <c r="BW48" s="60">
        <v>-1044.58</v>
      </c>
      <c r="BX48" s="154">
        <v>4888.84</v>
      </c>
      <c r="BY48" s="60">
        <v>-999.69999999999982</v>
      </c>
      <c r="BZ48" s="59">
        <v>18897.96</v>
      </c>
      <c r="CA48" s="60">
        <v>-20625.61</v>
      </c>
      <c r="CB48" s="57">
        <v>39.630000000000003</v>
      </c>
    </row>
    <row r="49" spans="1:80" ht="27.9" customHeight="1">
      <c r="A49" s="21" t="s">
        <v>105</v>
      </c>
      <c r="B49" s="31">
        <f>SUM(B47:B48)</f>
        <v>-103478479.81</v>
      </c>
      <c r="C49" s="195">
        <f t="shared" ref="C49" si="122">SUM(C47:C48)</f>
        <v>-119212631.4170832</v>
      </c>
      <c r="D49" s="31">
        <f t="shared" ref="D49" si="123">SUM(D47:D48)</f>
        <v>65857559.998818658</v>
      </c>
      <c r="E49" s="491">
        <f>SUM(E47:E48)</f>
        <v>324556.68999997969</v>
      </c>
      <c r="F49" s="31">
        <f>SUM(F47:F48)</f>
        <v>-6008016.7299999986</v>
      </c>
      <c r="G49" s="195">
        <f t="shared" ref="G49" si="124">SUM(G47:G48)</f>
        <v>-33268506.869999997</v>
      </c>
      <c r="H49" s="31">
        <f t="shared" ref="H49" si="125">SUM(H47:H48)</f>
        <v>86595971.313810572</v>
      </c>
      <c r="I49" s="491">
        <f>SUM(I47:I48)</f>
        <v>13749739.349248018</v>
      </c>
      <c r="J49" s="31">
        <f>SUM(J47:J48)</f>
        <v>7931788.6399999987</v>
      </c>
      <c r="K49" s="195">
        <f t="shared" ref="K49" si="126">SUM(K47:K48)</f>
        <v>-5581225.269999994</v>
      </c>
      <c r="L49" s="31">
        <f t="shared" ref="L49" si="127">SUM(L47:L48)</f>
        <v>2072186.2299999935</v>
      </c>
      <c r="M49" s="491">
        <f>SUM(M47:M48)</f>
        <v>-5225706.1599999974</v>
      </c>
      <c r="N49" s="31">
        <f t="shared" ref="N49" si="128">SUM(N47:N48)</f>
        <v>-1468260.0199999949</v>
      </c>
      <c r="O49" s="195">
        <f t="shared" ref="O49" si="129">SUM(O47:O48)</f>
        <v>-3944336.509999997</v>
      </c>
      <c r="P49" s="31">
        <f t="shared" ref="P49" si="130">SUM(P47:P48)</f>
        <v>-3405422.5000000037</v>
      </c>
      <c r="Q49" s="491">
        <f>SUM(Q47:Q48)</f>
        <v>-4880623.32</v>
      </c>
      <c r="R49" s="31">
        <f t="shared" ref="R49" si="131">SUM(R47:R48)</f>
        <v>-4617286.7400000021</v>
      </c>
      <c r="S49" s="195">
        <f t="shared" ref="S49" si="132">SUM(S47:S48)</f>
        <v>-4631372.7099999972</v>
      </c>
      <c r="T49" s="31">
        <f t="shared" ref="T49" si="133">SUM(T47:T48)</f>
        <v>1892879.0599999924</v>
      </c>
      <c r="U49" s="491">
        <f>SUM(U47:U48)</f>
        <v>-5748679.4799999855</v>
      </c>
      <c r="V49" s="31">
        <f t="shared" ref="V49:X49" si="134">SUM(V47:V48)</f>
        <v>-137259.84000000654</v>
      </c>
      <c r="W49" s="195">
        <f t="shared" ref="W49" si="135">SUM(W47:W48)</f>
        <v>-8468859.8199999984</v>
      </c>
      <c r="X49" s="31">
        <f t="shared" si="134"/>
        <v>1492258.6100000048</v>
      </c>
      <c r="Y49" s="491">
        <f t="shared" ref="Y49" si="136">SUM(Y47:Y48)</f>
        <v>-6629861.5200000014</v>
      </c>
      <c r="Z49" s="31">
        <f t="shared" ref="Z49:AE49" si="137">SUM(Z47:Z48)</f>
        <v>-4952436.7899999935</v>
      </c>
      <c r="AA49" s="195">
        <f t="shared" si="137"/>
        <v>-6544949.7300000023</v>
      </c>
      <c r="AB49" s="33">
        <f t="shared" si="137"/>
        <v>5672046.5857562413</v>
      </c>
      <c r="AC49" s="32">
        <f t="shared" si="137"/>
        <v>-65504.780000011924</v>
      </c>
      <c r="AD49" s="31">
        <f t="shared" si="137"/>
        <v>1130069.590000005</v>
      </c>
      <c r="AE49" s="195">
        <f t="shared" si="137"/>
        <v>-74797.389999998355</v>
      </c>
      <c r="AF49" s="31">
        <f>AF47+AF48</f>
        <v>14208.939999980628</v>
      </c>
      <c r="AG49" s="60">
        <f>SUM(AG47:AG48)</f>
        <v>1132733.8389999678</v>
      </c>
      <c r="AH49" s="31">
        <f>AH47+AH48</f>
        <v>-366397.50550763123</v>
      </c>
      <c r="AI49" s="195">
        <f>SUM(AI47:AI48)</f>
        <v>-1110546.3100000026</v>
      </c>
      <c r="AJ49" s="31">
        <f>AJ47+AJ48</f>
        <v>-2386309.6500000102</v>
      </c>
      <c r="AK49" s="60">
        <f>SUM(AK47:AK48)</f>
        <v>-3310914.0200000536</v>
      </c>
      <c r="AL49" s="31">
        <f>AL47+AL48</f>
        <v>-3070293.3500000155</v>
      </c>
      <c r="AM49" s="195">
        <f>SUM(AM47:AM48)</f>
        <v>-2657250.5800000066</v>
      </c>
      <c r="AN49" s="31">
        <f>AN47+AN48</f>
        <v>154179.05999999202</v>
      </c>
      <c r="AO49" s="60">
        <f>SUM(AO47:AO48)</f>
        <v>138870.30000000485</v>
      </c>
      <c r="AP49" s="31">
        <f>AP47+AP48</f>
        <v>-1342447.2200000037</v>
      </c>
      <c r="AQ49" s="195">
        <v>-1845568.54</v>
      </c>
      <c r="AR49" s="59">
        <v>-1879409.95</v>
      </c>
      <c r="AS49" s="60">
        <v>-1853840.29</v>
      </c>
      <c r="AT49" s="59">
        <v>-298929.7</v>
      </c>
      <c r="AU49" s="65">
        <v>-2402596.59</v>
      </c>
      <c r="AV49" s="59">
        <v>3441419.88</v>
      </c>
      <c r="AW49" s="60">
        <v>-1208876.08</v>
      </c>
      <c r="AX49" s="59">
        <v>-2028542.49</v>
      </c>
      <c r="AY49" s="65">
        <v>-1482291.86</v>
      </c>
      <c r="AZ49" s="59">
        <v>-4316215.84</v>
      </c>
      <c r="BA49" s="60">
        <v>-6697340.3200000003</v>
      </c>
      <c r="BB49" s="59">
        <v>-4583520.43</v>
      </c>
      <c r="BC49" s="256">
        <v>-6265462.7999999998</v>
      </c>
      <c r="BD49" s="260">
        <f>SUM(BD47:BD48)</f>
        <v>-74797.389999998355</v>
      </c>
      <c r="BE49" s="32">
        <f>AF49-AG49</f>
        <v>-1118524.8989999872</v>
      </c>
      <c r="BF49" s="59">
        <f>SUM(BF47:BF48)</f>
        <v>1499131.3445076027</v>
      </c>
      <c r="BG49" s="32">
        <f>AH49-AI49</f>
        <v>744148.80449237139</v>
      </c>
      <c r="BH49" s="260">
        <f>SUM(BH47:BH48)</f>
        <v>-1110546.3100000026</v>
      </c>
      <c r="BI49" s="32">
        <f>AJ49-AK49</f>
        <v>924604.37000004342</v>
      </c>
      <c r="BJ49" s="59">
        <f>SUM(BJ47:BJ48)</f>
        <v>-240620.67000004346</v>
      </c>
      <c r="BK49" s="32">
        <f>AL49-AM49</f>
        <v>-413042.77000000887</v>
      </c>
      <c r="BL49" s="260">
        <f>SUM(BL47:BL48)</f>
        <v>-2657250.5800000066</v>
      </c>
      <c r="BM49" s="225">
        <f>BM47+BM48</f>
        <v>15308.759999993694</v>
      </c>
      <c r="BN49" s="59">
        <f>SUM(BN47:BN48)</f>
        <v>1481317.5200000056</v>
      </c>
      <c r="BO49" s="32">
        <f t="shared" si="86"/>
        <v>503121.31999999634</v>
      </c>
      <c r="BP49" s="152">
        <v>-1845568.54</v>
      </c>
      <c r="BQ49" s="32">
        <v>-25569.659999999916</v>
      </c>
      <c r="BR49" s="59">
        <v>-1554910.59</v>
      </c>
      <c r="BS49" s="60">
        <v>2103666.8899999997</v>
      </c>
      <c r="BT49" s="155">
        <v>-2402596.59</v>
      </c>
      <c r="BU49" s="60">
        <v>4650295.96</v>
      </c>
      <c r="BV49" s="59">
        <v>819666.40999999992</v>
      </c>
      <c r="BW49" s="60">
        <v>-546250.62999999989</v>
      </c>
      <c r="BX49" s="155">
        <v>-1482291.86</v>
      </c>
      <c r="BY49" s="60">
        <v>2381124.4800000004</v>
      </c>
      <c r="BZ49" s="59">
        <v>-2113819.8900000006</v>
      </c>
      <c r="CA49" s="60">
        <v>1681942.37</v>
      </c>
      <c r="CB49" s="70">
        <v>-6265462.7999999998</v>
      </c>
    </row>
    <row r="50" spans="1:80" ht="27.9" customHeight="1">
      <c r="A50" s="21" t="s">
        <v>106</v>
      </c>
      <c r="B50" s="31">
        <v>162661539.41</v>
      </c>
      <c r="C50" s="195">
        <v>162661539.41</v>
      </c>
      <c r="D50" s="31">
        <v>96803979.409999996</v>
      </c>
      <c r="E50" s="491">
        <v>96803979.409999996</v>
      </c>
      <c r="F50" s="31">
        <v>96803979.409999996</v>
      </c>
      <c r="G50" s="195">
        <v>96803979.409999996</v>
      </c>
      <c r="H50" s="31">
        <v>10208008.089999998</v>
      </c>
      <c r="I50" s="491">
        <v>10208008.089999998</v>
      </c>
      <c r="J50" s="31">
        <v>10208008.09</v>
      </c>
      <c r="K50" s="195">
        <v>10208008.09</v>
      </c>
      <c r="L50" s="31">
        <v>8135821.8499999996</v>
      </c>
      <c r="M50" s="491">
        <v>8135821.8499999996</v>
      </c>
      <c r="N50" s="31">
        <v>8135821.8499999996</v>
      </c>
      <c r="O50" s="195">
        <v>8135821.8499999996</v>
      </c>
      <c r="P50" s="31">
        <v>11541244.359999999</v>
      </c>
      <c r="Q50" s="491">
        <v>11541244.359999999</v>
      </c>
      <c r="R50" s="31">
        <v>11541893.869999999</v>
      </c>
      <c r="S50" s="195">
        <v>11541893.869999999</v>
      </c>
      <c r="T50" s="31">
        <v>9649014.8200000003</v>
      </c>
      <c r="U50" s="491">
        <v>9649014.8200000003</v>
      </c>
      <c r="V50" s="31">
        <v>9649014.8200000003</v>
      </c>
      <c r="W50" s="195">
        <f>X51</f>
        <v>9649014.820000004</v>
      </c>
      <c r="X50" s="31">
        <v>8156756.21</v>
      </c>
      <c r="Y50" s="491">
        <v>8156756.21</v>
      </c>
      <c r="Z50" s="31">
        <f>AB51</f>
        <v>8156756.2057562415</v>
      </c>
      <c r="AA50" s="195">
        <f>AB51</f>
        <v>8156756.2057562415</v>
      </c>
      <c r="AB50" s="33">
        <v>2484709.62</v>
      </c>
      <c r="AC50" s="60">
        <v>2484709.62</v>
      </c>
      <c r="AD50" s="31">
        <f>AF51</f>
        <v>2484709.6999999708</v>
      </c>
      <c r="AE50" s="195">
        <f>AF51</f>
        <v>2484709.6999999708</v>
      </c>
      <c r="AF50" s="31">
        <f>AI50</f>
        <v>2470500.75999999</v>
      </c>
      <c r="AG50" s="60">
        <f>AH50</f>
        <v>2470500.75999999</v>
      </c>
      <c r="AH50" s="31">
        <f>AI50</f>
        <v>2470500.75999999</v>
      </c>
      <c r="AI50" s="195">
        <f>AJ51</f>
        <v>2470500.75999999</v>
      </c>
      <c r="AJ50" s="31">
        <f>AM50</f>
        <v>4856810.41</v>
      </c>
      <c r="AK50" s="60">
        <f>AL50</f>
        <v>4856810.41</v>
      </c>
      <c r="AL50" s="31">
        <f>AM50</f>
        <v>4856810.41</v>
      </c>
      <c r="AM50" s="195">
        <v>4856810.41</v>
      </c>
      <c r="AN50" s="31">
        <f>AQ50</f>
        <v>4369921.21</v>
      </c>
      <c r="AO50" s="60">
        <f>AR51</f>
        <v>4369921.21</v>
      </c>
      <c r="AP50" s="31">
        <v>4369921.21</v>
      </c>
      <c r="AQ50" s="195">
        <v>4369921.21</v>
      </c>
      <c r="AR50" s="59">
        <v>6249331.1600000001</v>
      </c>
      <c r="AS50" s="60">
        <v>6249331.1600000001</v>
      </c>
      <c r="AT50" s="59">
        <v>6249331.1600000001</v>
      </c>
      <c r="AU50" s="65">
        <v>6249331.1600000001</v>
      </c>
      <c r="AV50" s="59">
        <v>2807911.28</v>
      </c>
      <c r="AW50" s="60">
        <v>2807911.28</v>
      </c>
      <c r="AX50" s="59">
        <v>2807911.28</v>
      </c>
      <c r="AY50" s="65">
        <v>2807911.28</v>
      </c>
      <c r="AZ50" s="59">
        <v>7124127.1200000001</v>
      </c>
      <c r="BA50" s="60">
        <v>7124476.1900000004</v>
      </c>
      <c r="BB50" s="59">
        <v>7124476.1900000004</v>
      </c>
      <c r="BC50" s="256">
        <v>7124127.1200000001</v>
      </c>
      <c r="BD50" s="260">
        <f t="shared" ref="BD50:BK50" si="138">BE51</f>
        <v>2484709.6999999695</v>
      </c>
      <c r="BE50" s="32">
        <f t="shared" si="138"/>
        <v>3603234.5989999566</v>
      </c>
      <c r="BF50" s="59">
        <f t="shared" si="138"/>
        <v>2104103.2544923536</v>
      </c>
      <c r="BG50" s="32">
        <f t="shared" si="138"/>
        <v>1359954.4499999823</v>
      </c>
      <c r="BH50" s="260">
        <f t="shared" si="138"/>
        <v>2470500.7599999849</v>
      </c>
      <c r="BI50" s="32">
        <f t="shared" si="138"/>
        <v>1545896.3899999412</v>
      </c>
      <c r="BJ50" s="59">
        <f t="shared" si="138"/>
        <v>1786517.0599999847</v>
      </c>
      <c r="BK50" s="32">
        <f t="shared" si="138"/>
        <v>2199559.8299999936</v>
      </c>
      <c r="BL50" s="260">
        <v>4856810.41</v>
      </c>
      <c r="BM50" s="225">
        <f>BN51</f>
        <v>4508791.5100000016</v>
      </c>
      <c r="BN50" s="59">
        <f>BO51</f>
        <v>3027473.9899999965</v>
      </c>
      <c r="BO50" s="32">
        <f>BP51</f>
        <v>2524352.67</v>
      </c>
      <c r="BP50" s="152">
        <v>4369921.21</v>
      </c>
      <c r="BQ50" s="32">
        <v>4395490.87</v>
      </c>
      <c r="BR50" s="59">
        <v>5950401.46</v>
      </c>
      <c r="BS50" s="60">
        <v>3846734.57</v>
      </c>
      <c r="BT50" s="156">
        <v>6249331.1600000001</v>
      </c>
      <c r="BU50" s="60">
        <v>1599035.2</v>
      </c>
      <c r="BV50" s="59">
        <v>779368.79</v>
      </c>
      <c r="BW50" s="60">
        <v>1325619.42</v>
      </c>
      <c r="BX50" s="155">
        <v>2807911.28</v>
      </c>
      <c r="BY50" s="60">
        <v>427135.87</v>
      </c>
      <c r="BZ50" s="59">
        <v>2540955.7599999998</v>
      </c>
      <c r="CA50" s="60">
        <v>858664.32</v>
      </c>
      <c r="CB50" s="70">
        <v>7124127.1200000001</v>
      </c>
    </row>
    <row r="51" spans="1:80" ht="27.9" customHeight="1">
      <c r="A51" s="21" t="s">
        <v>107</v>
      </c>
      <c r="B51" s="31">
        <f t="shared" ref="B51" si="139">SUM(B49:B50)</f>
        <v>59183059.599999994</v>
      </c>
      <c r="C51" s="195">
        <f t="shared" ref="C51" si="140">SUM(C49:C50)</f>
        <v>43448907.992916793</v>
      </c>
      <c r="D51" s="31">
        <f t="shared" ref="D51" si="141">SUM(D49:D50)</f>
        <v>162661539.40881866</v>
      </c>
      <c r="E51" s="491">
        <f>SUM(E49:E50)</f>
        <v>97128536.099999979</v>
      </c>
      <c r="F51" s="31">
        <f t="shared" ref="F51" si="142">SUM(F49:F50)</f>
        <v>90795962.679999992</v>
      </c>
      <c r="G51" s="195">
        <f t="shared" ref="G51" si="143">SUM(G49:G50)</f>
        <v>63535472.539999999</v>
      </c>
      <c r="H51" s="31">
        <f t="shared" ref="H51" si="144">SUM(H49:H50)</f>
        <v>96803979.403810576</v>
      </c>
      <c r="I51" s="491">
        <f>SUM(I49:I50)</f>
        <v>23957747.439248018</v>
      </c>
      <c r="J51" s="31">
        <f t="shared" ref="J51" si="145">SUM(J49:J50)</f>
        <v>18139796.729999997</v>
      </c>
      <c r="K51" s="195">
        <f t="shared" ref="K51" si="146">SUM(K49:K50)</f>
        <v>4626782.8200000059</v>
      </c>
      <c r="L51" s="31">
        <f t="shared" ref="L51" si="147">SUM(L49:L50)</f>
        <v>10208008.079999993</v>
      </c>
      <c r="M51" s="491">
        <f>SUM(M49:M50)</f>
        <v>2910115.6900000023</v>
      </c>
      <c r="N51" s="31">
        <f t="shared" ref="N51" si="148">SUM(N49:N50)</f>
        <v>6667561.8300000047</v>
      </c>
      <c r="O51" s="195">
        <f t="shared" ref="O51" si="149">SUM(O49:O50)</f>
        <v>4191485.3400000026</v>
      </c>
      <c r="P51" s="31">
        <f t="shared" ref="P51" si="150">SUM(P49:P50)</f>
        <v>8135821.8599999957</v>
      </c>
      <c r="Q51" s="491">
        <f>SUM(Q49:Q50)</f>
        <v>6660621.0399999991</v>
      </c>
      <c r="R51" s="31">
        <f t="shared" ref="R51" si="151">SUM(R49:R50)</f>
        <v>6924607.1299999971</v>
      </c>
      <c r="S51" s="195">
        <f t="shared" ref="S51" si="152">SUM(S49:S50)</f>
        <v>6910521.160000002</v>
      </c>
      <c r="T51" s="31">
        <f t="shared" ref="T51" si="153">SUM(T49:T50)</f>
        <v>11541893.879999993</v>
      </c>
      <c r="U51" s="491">
        <f>SUM(U49:U50)</f>
        <v>3900335.3400000148</v>
      </c>
      <c r="V51" s="31">
        <f t="shared" ref="V51:X51" si="154">SUM(V49:V50)</f>
        <v>9511754.979999993</v>
      </c>
      <c r="W51" s="195">
        <f t="shared" ref="W51" si="155">SUM(W49:W50)</f>
        <v>1180155.0000000056</v>
      </c>
      <c r="X51" s="31">
        <f t="shared" si="154"/>
        <v>9649014.820000004</v>
      </c>
      <c r="Y51" s="491">
        <f t="shared" ref="Y51" si="156">SUM(Y49:Y50)</f>
        <v>1526894.6899999985</v>
      </c>
      <c r="Z51" s="31">
        <f t="shared" ref="Z51:AE51" si="157">SUM(Z49:Z50)</f>
        <v>3204319.4157562479</v>
      </c>
      <c r="AA51" s="195">
        <f t="shared" si="157"/>
        <v>1611806.4757562391</v>
      </c>
      <c r="AB51" s="475">
        <f t="shared" si="157"/>
        <v>8156756.2057562415</v>
      </c>
      <c r="AC51" s="60">
        <f t="shared" si="157"/>
        <v>2419204.8399999882</v>
      </c>
      <c r="AD51" s="31">
        <f t="shared" si="157"/>
        <v>3614779.2899999758</v>
      </c>
      <c r="AE51" s="195">
        <f t="shared" si="157"/>
        <v>2409912.3099999726</v>
      </c>
      <c r="AF51" s="31">
        <f>AF49+AF50</f>
        <v>2484709.6999999708</v>
      </c>
      <c r="AG51" s="60">
        <f>SUM(AG49:AG50)</f>
        <v>3603234.5989999576</v>
      </c>
      <c r="AH51" s="31">
        <f>AH49+AH50</f>
        <v>2104103.2544923588</v>
      </c>
      <c r="AI51" s="195">
        <f>SUM(AI49:AI50)</f>
        <v>1359954.4499999874</v>
      </c>
      <c r="AJ51" s="31">
        <f>AJ49+AJ50</f>
        <v>2470500.75999999</v>
      </c>
      <c r="AK51" s="60">
        <f>SUM(AK49:AK50)</f>
        <v>1545896.3899999466</v>
      </c>
      <c r="AL51" s="31">
        <f>AL49+AL50</f>
        <v>1786517.0599999847</v>
      </c>
      <c r="AM51" s="195">
        <f>SUM(AM49:AM50)</f>
        <v>2199559.8299999936</v>
      </c>
      <c r="AN51" s="31">
        <f>AN49+AN50</f>
        <v>4524100.2699999921</v>
      </c>
      <c r="AO51" s="60">
        <f>SUM(AO49:AO50)</f>
        <v>4508791.5100000044</v>
      </c>
      <c r="AP51" s="31">
        <f>AP49+AP50</f>
        <v>3027473.9899999965</v>
      </c>
      <c r="AQ51" s="195">
        <v>2524352.67</v>
      </c>
      <c r="AR51" s="59">
        <v>4369921.21</v>
      </c>
      <c r="AS51" s="60">
        <v>4395490.87</v>
      </c>
      <c r="AT51" s="59">
        <v>5950401.46</v>
      </c>
      <c r="AU51" s="65">
        <v>3846734.57</v>
      </c>
      <c r="AV51" s="59">
        <v>6249331.1600000001</v>
      </c>
      <c r="AW51" s="60">
        <v>1599035.2</v>
      </c>
      <c r="AX51" s="59">
        <v>779368.79</v>
      </c>
      <c r="AY51" s="65">
        <v>1325619.42</v>
      </c>
      <c r="AZ51" s="59">
        <v>2807911.28</v>
      </c>
      <c r="BA51" s="60">
        <v>427135.87</v>
      </c>
      <c r="BB51" s="59">
        <v>2540955.7599999998</v>
      </c>
      <c r="BC51" s="256">
        <v>858664.32</v>
      </c>
      <c r="BD51" s="260">
        <f>SUM(BD49:BD50)</f>
        <v>2409912.3099999712</v>
      </c>
      <c r="BE51" s="32">
        <f>BE49+BE50</f>
        <v>2484709.6999999695</v>
      </c>
      <c r="BF51" s="59">
        <f>SUM(BF49:BF50)</f>
        <v>3603234.5989999566</v>
      </c>
      <c r="BG51" s="32">
        <f>BG49+BG50</f>
        <v>2104103.2544923536</v>
      </c>
      <c r="BH51" s="260">
        <f>SUM(BH49:BH50)</f>
        <v>1359954.4499999823</v>
      </c>
      <c r="BI51" s="32">
        <f>BI49+BI50</f>
        <v>2470500.7599999849</v>
      </c>
      <c r="BJ51" s="59">
        <f>SUM(BJ49:BJ50)</f>
        <v>1545896.3899999412</v>
      </c>
      <c r="BK51" s="32">
        <f>BK49+BK50</f>
        <v>1786517.0599999847</v>
      </c>
      <c r="BL51" s="260">
        <f>SUM(BL49:BL50)</f>
        <v>2199559.8299999936</v>
      </c>
      <c r="BM51" s="225">
        <f>BM49+BM50</f>
        <v>4524100.2699999949</v>
      </c>
      <c r="BN51" s="59">
        <f>SUM(BN49:BN50)</f>
        <v>4508791.5100000016</v>
      </c>
      <c r="BO51" s="32">
        <f>BO49+BO50</f>
        <v>3027473.9899999965</v>
      </c>
      <c r="BP51" s="152">
        <v>2524352.67</v>
      </c>
      <c r="BQ51" s="32">
        <v>4369921.21</v>
      </c>
      <c r="BR51" s="59">
        <v>4395490.87</v>
      </c>
      <c r="BS51" s="60">
        <v>5950401.46</v>
      </c>
      <c r="BT51" s="156">
        <v>3846734.57</v>
      </c>
      <c r="BU51" s="60">
        <v>6249331.1600000001</v>
      </c>
      <c r="BV51" s="59">
        <v>1599035.2</v>
      </c>
      <c r="BW51" s="60">
        <v>779368.79</v>
      </c>
      <c r="BX51" s="155">
        <v>1325619.42</v>
      </c>
      <c r="BY51" s="60">
        <v>2807911.28</v>
      </c>
      <c r="BZ51" s="59">
        <v>427135.87</v>
      </c>
      <c r="CA51" s="60">
        <v>2540955.7599999998</v>
      </c>
      <c r="CB51" s="70">
        <v>858664.32</v>
      </c>
    </row>
    <row r="52" spans="1:80" ht="22.5" customHeight="1">
      <c r="R52" s="34"/>
      <c r="T52" s="171"/>
      <c r="AR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</row>
    <row r="53" spans="1:80">
      <c r="Q53" s="223"/>
      <c r="R53" s="34"/>
      <c r="T53" s="171"/>
    </row>
    <row r="54" spans="1:80">
      <c r="B54" s="267"/>
      <c r="R54" s="34"/>
      <c r="T54" s="171"/>
    </row>
    <row r="55" spans="1:80">
      <c r="R55" s="34"/>
      <c r="T55" s="171"/>
    </row>
    <row r="56" spans="1:80">
      <c r="R56" s="34"/>
      <c r="T56" s="171"/>
    </row>
  </sheetData>
  <pageMargins left="0.19685039370078741" right="0" top="0.19685039370078741" bottom="0.19685039370078741" header="0" footer="0"/>
  <pageSetup paperSize="9" scale="22" fitToHeight="0" orientation="landscape" horizontalDpi="4294967293" verticalDpi="4294967293" r:id="rId1"/>
  <headerFooter>
    <oddFooter>&amp;RREDWOOD PR
powered by PROFESCAPITAL</oddFooter>
  </headerFooter>
  <ignoredErrors>
    <ignoredError sqref="AH47:AO51 BH22:BN24 BH27:BH36 BH39:BN51 BH7:BN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U74"/>
  <sheetViews>
    <sheetView showGridLines="0" zoomScale="70" zoomScaleNormal="70" zoomScaleSheetLayoutView="40" zoomScalePageLayoutView="80" workbookViewId="0">
      <pane xSplit="1" ySplit="5" topLeftCell="B66" activePane="bottomRight" state="frozen"/>
      <selection activeCell="J51" sqref="J51"/>
      <selection pane="topRight" activeCell="J51" sqref="J51"/>
      <selection pane="bottomLeft" activeCell="J51" sqref="J51"/>
      <selection pane="bottomRight" activeCell="G83" sqref="G83"/>
    </sheetView>
  </sheetViews>
  <sheetFormatPr defaultRowHeight="14.4"/>
  <cols>
    <col min="2" max="8" width="30.6640625" customWidth="1"/>
    <col min="9" max="9" width="20.88671875" style="267" customWidth="1"/>
    <col min="10" max="10" width="22" customWidth="1"/>
    <col min="11" max="11" width="14.88671875" bestFit="1" customWidth="1"/>
  </cols>
  <sheetData>
    <row r="1" spans="1:47" ht="50.1" customHeight="1">
      <c r="A1" s="526" t="s">
        <v>144</v>
      </c>
      <c r="B1" s="526"/>
      <c r="C1" s="526"/>
      <c r="D1" s="526"/>
      <c r="E1" s="526"/>
      <c r="F1" s="526"/>
      <c r="G1" s="526"/>
      <c r="H1" s="526"/>
      <c r="I1" s="50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09"/>
      <c r="AO1" s="1"/>
      <c r="AP1" s="1"/>
      <c r="AQ1" s="1"/>
      <c r="AR1" s="1"/>
      <c r="AS1" s="1"/>
      <c r="AT1" s="1"/>
      <c r="AU1" s="1"/>
    </row>
    <row r="2" spans="1:47" ht="24.9" customHeight="1"/>
    <row r="3" spans="1:47" ht="12.6" customHeight="1">
      <c r="A3" s="3"/>
      <c r="B3" s="3"/>
      <c r="C3" s="3"/>
      <c r="D3" s="3"/>
      <c r="G3" s="358"/>
    </row>
    <row r="4" spans="1:47" ht="9.6" customHeight="1">
      <c r="A4" s="19"/>
      <c r="B4" s="19"/>
      <c r="C4" s="528" t="s">
        <v>46</v>
      </c>
      <c r="D4" s="530" t="s">
        <v>259</v>
      </c>
      <c r="E4" s="528"/>
      <c r="F4" s="528"/>
      <c r="G4" s="122"/>
      <c r="H4" s="528" t="s">
        <v>49</v>
      </c>
    </row>
    <row r="5" spans="1:47" ht="57" customHeight="1">
      <c r="A5" s="19"/>
      <c r="B5" s="19"/>
      <c r="C5" s="528"/>
      <c r="D5" s="530"/>
      <c r="E5" s="502" t="s">
        <v>48</v>
      </c>
      <c r="F5" s="502" t="s">
        <v>260</v>
      </c>
      <c r="G5" s="139" t="s">
        <v>154</v>
      </c>
      <c r="H5" s="528"/>
    </row>
    <row r="6" spans="1:47" ht="35.1" customHeight="1">
      <c r="A6" s="531" t="s">
        <v>138</v>
      </c>
      <c r="B6" s="91">
        <v>2012</v>
      </c>
      <c r="C6" s="89">
        <v>21854000</v>
      </c>
      <c r="D6" s="89">
        <v>-2979617.4999999995</v>
      </c>
      <c r="E6" s="89">
        <f>160252357.778834-49930000</f>
        <v>110322357.77883399</v>
      </c>
      <c r="F6" s="89">
        <v>49930000</v>
      </c>
      <c r="G6" s="140"/>
      <c r="H6" s="140">
        <f>C6+D6+E6+F6+G6</f>
        <v>179126740.27883399</v>
      </c>
      <c r="J6" s="267"/>
      <c r="K6" s="267"/>
    </row>
    <row r="7" spans="1:47" ht="35.1" customHeight="1">
      <c r="A7" s="531"/>
      <c r="B7" s="92">
        <v>2013</v>
      </c>
      <c r="C7" s="90">
        <v>21854000</v>
      </c>
      <c r="D7" s="90">
        <v>-28132.279999999795</v>
      </c>
      <c r="E7" s="90">
        <f>163136347.631743-49930000</f>
        <v>113206347.63174301</v>
      </c>
      <c r="F7" s="90">
        <v>49930000</v>
      </c>
      <c r="G7" s="141">
        <v>-11027.02</v>
      </c>
      <c r="H7" s="141">
        <f t="shared" ref="H7:H16" si="0">C7+D7+E7+F7+G7</f>
        <v>184951188.331743</v>
      </c>
      <c r="J7" s="267"/>
      <c r="K7" s="267"/>
    </row>
    <row r="8" spans="1:47" ht="35.1" customHeight="1">
      <c r="A8" s="531"/>
      <c r="B8" s="91">
        <v>2014</v>
      </c>
      <c r="C8" s="89">
        <v>21854000.000000004</v>
      </c>
      <c r="D8" s="89">
        <v>692514.97999999986</v>
      </c>
      <c r="E8" s="89">
        <f>174494295.227013-49930000</f>
        <v>124564295.22701299</v>
      </c>
      <c r="F8" s="89">
        <v>49930000</v>
      </c>
      <c r="G8" s="140">
        <v>2953687.95</v>
      </c>
      <c r="H8" s="140">
        <f t="shared" si="0"/>
        <v>199994498.157013</v>
      </c>
      <c r="J8" s="267"/>
      <c r="K8" s="267"/>
    </row>
    <row r="9" spans="1:47" ht="35.1" customHeight="1">
      <c r="A9" s="531"/>
      <c r="B9" s="92">
        <v>2015</v>
      </c>
      <c r="C9" s="90">
        <v>21854000</v>
      </c>
      <c r="D9" s="90">
        <v>596217.72</v>
      </c>
      <c r="E9" s="90">
        <f>175552114.89-49930000</f>
        <v>125622114.88999999</v>
      </c>
      <c r="F9" s="90">
        <v>49930000</v>
      </c>
      <c r="G9" s="141">
        <v>2607026.75</v>
      </c>
      <c r="H9" s="141">
        <f t="shared" si="0"/>
        <v>200609359.35999998</v>
      </c>
      <c r="J9" s="267"/>
      <c r="K9" s="267"/>
    </row>
    <row r="10" spans="1:47" ht="35.1" customHeight="1">
      <c r="A10" s="531"/>
      <c r="B10" s="91">
        <v>2016</v>
      </c>
      <c r="C10" s="89">
        <v>21854000</v>
      </c>
      <c r="D10" s="89">
        <v>1232917.5699999998</v>
      </c>
      <c r="E10" s="89">
        <f>185824989.587512-49930000</f>
        <v>135894989.58751199</v>
      </c>
      <c r="F10" s="89">
        <v>49930000</v>
      </c>
      <c r="G10" s="140">
        <v>1848893.0599999998</v>
      </c>
      <c r="H10" s="140">
        <f t="shared" si="0"/>
        <v>210760800.21751198</v>
      </c>
      <c r="J10" s="267"/>
      <c r="K10" s="267"/>
    </row>
    <row r="11" spans="1:47" ht="35.1" customHeight="1">
      <c r="A11" s="503"/>
      <c r="B11" s="92">
        <v>2017</v>
      </c>
      <c r="C11" s="90">
        <f>C44</f>
        <v>21854000</v>
      </c>
      <c r="D11" s="90">
        <f t="shared" ref="D11:G11" si="1">D44</f>
        <v>84167.13</v>
      </c>
      <c r="E11" s="90">
        <f>188740280.998376-49930000</f>
        <v>138810280.99837601</v>
      </c>
      <c r="F11" s="90">
        <v>49930000</v>
      </c>
      <c r="G11" s="141">
        <f t="shared" si="1"/>
        <v>1227180.0708000003</v>
      </c>
      <c r="H11" s="141">
        <f t="shared" si="0"/>
        <v>211905628.19917601</v>
      </c>
      <c r="J11" s="267"/>
      <c r="K11" s="267"/>
    </row>
    <row r="12" spans="1:47" ht="35.1" customHeight="1">
      <c r="A12" s="503"/>
      <c r="B12" s="91">
        <v>2018</v>
      </c>
      <c r="C12" s="89">
        <f>C48</f>
        <v>21854000</v>
      </c>
      <c r="D12" s="89">
        <f t="shared" ref="D12:G12" si="2">D48</f>
        <v>-76545.38</v>
      </c>
      <c r="E12" s="89">
        <f>194486913.87-49930000</f>
        <v>144556913.87</v>
      </c>
      <c r="F12" s="89">
        <v>49930000</v>
      </c>
      <c r="G12" s="140">
        <f t="shared" si="2"/>
        <v>1499363.8</v>
      </c>
      <c r="H12" s="140">
        <f t="shared" si="0"/>
        <v>217763732.29000002</v>
      </c>
      <c r="J12" s="267"/>
      <c r="K12" s="267"/>
    </row>
    <row r="13" spans="1:47" ht="35.1" customHeight="1">
      <c r="A13" s="503"/>
      <c r="B13" s="92">
        <v>2019</v>
      </c>
      <c r="C13" s="90">
        <f>C52</f>
        <v>21854000</v>
      </c>
      <c r="D13" s="90">
        <f t="shared" ref="D13:G13" si="3">D52</f>
        <v>1786334.82</v>
      </c>
      <c r="E13" s="90">
        <f>215091980.18-49930000</f>
        <v>165161980.18000001</v>
      </c>
      <c r="F13" s="90">
        <v>49930000</v>
      </c>
      <c r="G13" s="141">
        <f t="shared" si="3"/>
        <v>1172335.52</v>
      </c>
      <c r="H13" s="141">
        <f t="shared" si="0"/>
        <v>239904650.52000001</v>
      </c>
      <c r="J13" s="267"/>
      <c r="K13" s="267"/>
    </row>
    <row r="14" spans="1:47" ht="35.1" customHeight="1">
      <c r="A14" s="503"/>
      <c r="B14" s="91">
        <v>2020</v>
      </c>
      <c r="C14" s="89">
        <f>C56</f>
        <v>30054000</v>
      </c>
      <c r="D14" s="89">
        <f t="shared" ref="D14:G14" si="4">D56</f>
        <v>2100988.86</v>
      </c>
      <c r="E14" s="89">
        <f>238200360.02-106100000</f>
        <v>132100360.02000001</v>
      </c>
      <c r="F14" s="89">
        <v>106100000</v>
      </c>
      <c r="G14" s="140">
        <f t="shared" si="4"/>
        <v>982096.09</v>
      </c>
      <c r="H14" s="140">
        <f t="shared" si="0"/>
        <v>271337444.96999997</v>
      </c>
      <c r="J14" s="267"/>
      <c r="K14" s="267"/>
    </row>
    <row r="15" spans="1:47" s="1" customFormat="1" ht="35.1" customHeight="1">
      <c r="A15" s="508"/>
      <c r="B15" s="506">
        <v>2021</v>
      </c>
      <c r="C15" s="507">
        <f>C60</f>
        <v>30054000</v>
      </c>
      <c r="D15" s="507">
        <f t="shared" ref="D15:G15" si="5">D60</f>
        <v>1677826.5199999998</v>
      </c>
      <c r="E15" s="507">
        <f t="shared" si="5"/>
        <v>156338170.50999999</v>
      </c>
      <c r="F15" s="507">
        <f t="shared" si="5"/>
        <v>106100000</v>
      </c>
      <c r="G15" s="141">
        <f t="shared" si="5"/>
        <v>898658.96</v>
      </c>
      <c r="H15" s="141">
        <f t="shared" si="0"/>
        <v>295068655.98999995</v>
      </c>
      <c r="I15" s="509"/>
      <c r="J15" s="509"/>
      <c r="K15" s="509"/>
    </row>
    <row r="16" spans="1:47" ht="35.1" customHeight="1">
      <c r="A16" s="503"/>
      <c r="B16" s="91">
        <v>2022</v>
      </c>
      <c r="C16" s="89">
        <f>C64</f>
        <v>30054000</v>
      </c>
      <c r="D16" s="89">
        <f t="shared" ref="D16:G16" si="6">D64</f>
        <v>2665503.2000000002</v>
      </c>
      <c r="E16" s="89">
        <f t="shared" si="6"/>
        <v>176947059.48000002</v>
      </c>
      <c r="F16" s="89">
        <f t="shared" si="6"/>
        <v>106100000</v>
      </c>
      <c r="G16" s="140">
        <f t="shared" si="6"/>
        <v>1145239.21</v>
      </c>
      <c r="H16" s="140">
        <f t="shared" si="0"/>
        <v>316911801.88999999</v>
      </c>
      <c r="J16" s="267"/>
      <c r="K16" s="267"/>
    </row>
    <row r="17" spans="1:11" s="1" customFormat="1" ht="35.1" customHeight="1">
      <c r="A17" s="508"/>
      <c r="B17" s="506">
        <v>2023</v>
      </c>
      <c r="C17" s="507">
        <f>C68</f>
        <v>30054000</v>
      </c>
      <c r="D17" s="507">
        <f t="shared" ref="D17:G17" si="7">D68</f>
        <v>3815877.24</v>
      </c>
      <c r="E17" s="507">
        <f t="shared" si="7"/>
        <v>222027611.94</v>
      </c>
      <c r="F17" s="507">
        <f t="shared" si="7"/>
        <v>106100000</v>
      </c>
      <c r="G17" s="507">
        <f t="shared" si="7"/>
        <v>940106.23999999999</v>
      </c>
      <c r="H17" s="90">
        <f>C17+D17+E17+F17+G17</f>
        <v>362937595.42000002</v>
      </c>
      <c r="I17" s="509"/>
      <c r="J17" s="509"/>
      <c r="K17" s="509"/>
    </row>
    <row r="18" spans="1:11" ht="35.1" customHeight="1">
      <c r="A18" s="503"/>
      <c r="B18" s="91">
        <v>2024</v>
      </c>
      <c r="C18" s="89">
        <f>C72</f>
        <v>30054000</v>
      </c>
      <c r="D18" s="89">
        <f t="shared" ref="D18:G18" si="8">D72</f>
        <v>2962306.3000000003</v>
      </c>
      <c r="E18" s="89">
        <f t="shared" si="8"/>
        <v>322823443.31999999</v>
      </c>
      <c r="F18" s="89">
        <f t="shared" si="8"/>
        <v>106100000</v>
      </c>
      <c r="G18" s="89">
        <f t="shared" si="8"/>
        <v>866967.21</v>
      </c>
      <c r="H18" s="140">
        <f>C18+D18+E18+F18+G18</f>
        <v>462806716.82999998</v>
      </c>
      <c r="J18" s="267"/>
      <c r="K18" s="267"/>
    </row>
    <row r="19" spans="1:11" s="1" customFormat="1" ht="35.1" customHeight="1">
      <c r="A19" s="508"/>
      <c r="B19" s="506"/>
      <c r="C19" s="507"/>
      <c r="D19" s="507"/>
      <c r="E19" s="507"/>
      <c r="F19" s="507"/>
      <c r="G19" s="507"/>
      <c r="H19" s="90"/>
      <c r="I19" s="509"/>
      <c r="J19" s="509"/>
      <c r="K19" s="509"/>
    </row>
    <row r="20" spans="1:11" ht="35.1" customHeight="1">
      <c r="A20" s="503"/>
      <c r="B20" s="91"/>
      <c r="C20" s="89"/>
      <c r="D20" s="89"/>
      <c r="E20" s="89"/>
      <c r="F20" s="89"/>
      <c r="G20" s="89"/>
      <c r="H20" s="89"/>
      <c r="J20" s="267"/>
      <c r="K20" s="267"/>
    </row>
    <row r="21" spans="1:11" ht="35.1" customHeight="1">
      <c r="A21" s="529" t="s">
        <v>139</v>
      </c>
      <c r="B21" s="92" t="s">
        <v>24</v>
      </c>
      <c r="C21" s="90">
        <v>21854000</v>
      </c>
      <c r="D21" s="90">
        <v>-3885096.7719138777</v>
      </c>
      <c r="E21" s="90">
        <f>157444375.98458-49930000</f>
        <v>107514375.98458001</v>
      </c>
      <c r="F21" s="90">
        <f>$F$6</f>
        <v>49930000</v>
      </c>
      <c r="G21" s="141"/>
      <c r="H21" s="90">
        <v>175413279.21266577</v>
      </c>
      <c r="J21" s="267"/>
      <c r="K21" s="267"/>
    </row>
    <row r="22" spans="1:11" ht="35.1" customHeight="1">
      <c r="A22" s="529"/>
      <c r="B22" s="91" t="s">
        <v>32</v>
      </c>
      <c r="C22" s="89">
        <v>21854000</v>
      </c>
      <c r="D22" s="89">
        <v>-3474664.7199999993</v>
      </c>
      <c r="E22" s="89">
        <f>159551316.796428-49930000</f>
        <v>109621316.79642799</v>
      </c>
      <c r="F22" s="89">
        <f t="shared" ref="F22:F52" si="9">$F$6</f>
        <v>49930000</v>
      </c>
      <c r="G22" s="140"/>
      <c r="H22" s="89">
        <v>177930652.07642794</v>
      </c>
      <c r="J22" s="267"/>
      <c r="K22" s="267"/>
    </row>
    <row r="23" spans="1:11" ht="35.1" customHeight="1">
      <c r="A23" s="529"/>
      <c r="B23" s="92" t="s">
        <v>31</v>
      </c>
      <c r="C23" s="90">
        <v>21854000</v>
      </c>
      <c r="D23" s="90">
        <v>-3222872.3199999994</v>
      </c>
      <c r="E23" s="90">
        <f>158068429.679001-49930000</f>
        <v>108138429.679001</v>
      </c>
      <c r="F23" s="90">
        <f t="shared" si="9"/>
        <v>49930000</v>
      </c>
      <c r="G23" s="141"/>
      <c r="H23" s="90">
        <v>176699557.35900071</v>
      </c>
      <c r="J23" s="267"/>
      <c r="K23" s="267"/>
    </row>
    <row r="24" spans="1:11" ht="35.1" customHeight="1">
      <c r="A24" s="529"/>
      <c r="B24" s="91" t="s">
        <v>30</v>
      </c>
      <c r="C24" s="89">
        <v>21854000</v>
      </c>
      <c r="D24" s="89">
        <v>-2979617.4999999995</v>
      </c>
      <c r="E24" s="89">
        <f>160252357.778834-49930000</f>
        <v>110322357.77883399</v>
      </c>
      <c r="F24" s="89">
        <f t="shared" si="9"/>
        <v>49930000</v>
      </c>
      <c r="G24" s="140"/>
      <c r="H24" s="89">
        <v>179126740.27883366</v>
      </c>
      <c r="J24" s="267"/>
      <c r="K24" s="267"/>
    </row>
    <row r="25" spans="1:11" ht="35.1" customHeight="1">
      <c r="A25" s="529"/>
      <c r="B25" s="92" t="s">
        <v>20</v>
      </c>
      <c r="C25" s="90">
        <v>21854000</v>
      </c>
      <c r="D25" s="90">
        <v>-3333930.7399999993</v>
      </c>
      <c r="E25" s="90">
        <f>163750711.255129-49930000</f>
        <v>113820711.25512901</v>
      </c>
      <c r="F25" s="90">
        <f t="shared" si="9"/>
        <v>49930000</v>
      </c>
      <c r="G25" s="141"/>
      <c r="H25" s="90">
        <v>182270780.51512855</v>
      </c>
      <c r="J25" s="267"/>
      <c r="K25" s="267"/>
    </row>
    <row r="26" spans="1:11" ht="35.1" customHeight="1">
      <c r="A26" s="529"/>
      <c r="B26" s="91" t="s">
        <v>29</v>
      </c>
      <c r="C26" s="89">
        <v>21854000</v>
      </c>
      <c r="D26" s="89">
        <v>-2856203.3599999994</v>
      </c>
      <c r="E26" s="89">
        <f>168534444.352984-49930000</f>
        <v>118604444.35298401</v>
      </c>
      <c r="F26" s="89">
        <f t="shared" si="9"/>
        <v>49930000</v>
      </c>
      <c r="G26" s="140"/>
      <c r="H26" s="89">
        <v>187532240.9929837</v>
      </c>
      <c r="J26" s="267"/>
      <c r="K26" s="267"/>
    </row>
    <row r="27" spans="1:11" ht="35.1" customHeight="1">
      <c r="A27" s="529"/>
      <c r="B27" s="92" t="s">
        <v>28</v>
      </c>
      <c r="C27" s="90">
        <v>21854000</v>
      </c>
      <c r="D27" s="90">
        <v>-608937.78999999911</v>
      </c>
      <c r="E27" s="90">
        <f>167145836.390324-49930000</f>
        <v>117215836.390324</v>
      </c>
      <c r="F27" s="90">
        <f t="shared" si="9"/>
        <v>49930000</v>
      </c>
      <c r="G27" s="141"/>
      <c r="H27" s="90">
        <v>188390898.60032362</v>
      </c>
      <c r="J27" s="267"/>
      <c r="K27" s="267"/>
    </row>
    <row r="28" spans="1:11" ht="35.1" customHeight="1">
      <c r="A28" s="529"/>
      <c r="B28" s="91" t="s">
        <v>27</v>
      </c>
      <c r="C28" s="89">
        <v>21854000</v>
      </c>
      <c r="D28" s="89">
        <v>-28132.279999999795</v>
      </c>
      <c r="E28" s="89">
        <f>163136347.631743-49930000</f>
        <v>113206347.63174301</v>
      </c>
      <c r="F28" s="89">
        <f t="shared" si="9"/>
        <v>49930000</v>
      </c>
      <c r="G28" s="140">
        <v>-11027.02</v>
      </c>
      <c r="H28" s="89">
        <v>184951188.33174282</v>
      </c>
      <c r="J28" s="267"/>
      <c r="K28" s="267"/>
    </row>
    <row r="29" spans="1:11" ht="35.1" customHeight="1">
      <c r="A29" s="529"/>
      <c r="B29" s="92" t="s">
        <v>16</v>
      </c>
      <c r="C29" s="90">
        <v>21854000</v>
      </c>
      <c r="D29" s="90">
        <v>856388.08690820145</v>
      </c>
      <c r="E29" s="90">
        <f>167982550.105134-49930000</f>
        <v>118052550.10513401</v>
      </c>
      <c r="F29" s="90">
        <f t="shared" si="9"/>
        <v>49930000</v>
      </c>
      <c r="G29" s="141">
        <v>-29558.27</v>
      </c>
      <c r="H29" s="90">
        <v>190663379.92204258</v>
      </c>
      <c r="J29" s="267"/>
      <c r="K29" s="267"/>
    </row>
    <row r="30" spans="1:11" ht="35.1" customHeight="1">
      <c r="A30" s="529"/>
      <c r="B30" s="91" t="s">
        <v>26</v>
      </c>
      <c r="C30" s="89">
        <v>21854000</v>
      </c>
      <c r="D30" s="89">
        <v>371957.82000000024</v>
      </c>
      <c r="E30" s="89">
        <f>177442721.830441-49930000</f>
        <v>127512721.830441</v>
      </c>
      <c r="F30" s="89">
        <f t="shared" si="9"/>
        <v>49930000</v>
      </c>
      <c r="G30" s="140">
        <v>-72762.45</v>
      </c>
      <c r="H30" s="89">
        <v>199595917.20044106</v>
      </c>
      <c r="J30" s="267"/>
      <c r="K30" s="267"/>
    </row>
    <row r="31" spans="1:11" ht="35.1" customHeight="1">
      <c r="A31" s="529"/>
      <c r="B31" s="92" t="s">
        <v>25</v>
      </c>
      <c r="C31" s="90">
        <v>21854000</v>
      </c>
      <c r="D31" s="90">
        <v>440359.99000000005</v>
      </c>
      <c r="E31" s="90">
        <f>176269446.068056-49930000</f>
        <v>126339446.06805599</v>
      </c>
      <c r="F31" s="90">
        <f t="shared" si="9"/>
        <v>49930000</v>
      </c>
      <c r="G31" s="141">
        <v>-78585.63</v>
      </c>
      <c r="H31" s="90">
        <v>198485220.42805561</v>
      </c>
      <c r="J31" s="267"/>
      <c r="K31" s="267"/>
    </row>
    <row r="32" spans="1:11" ht="35.1" customHeight="1">
      <c r="A32" s="529"/>
      <c r="B32" s="91" t="s">
        <v>116</v>
      </c>
      <c r="C32" s="89">
        <v>21854000.000000004</v>
      </c>
      <c r="D32" s="89">
        <v>692514.97999999986</v>
      </c>
      <c r="E32" s="89">
        <f>174494295.227013-49930000</f>
        <v>124564295.22701299</v>
      </c>
      <c r="F32" s="89">
        <f t="shared" si="9"/>
        <v>49930000</v>
      </c>
      <c r="G32" s="140">
        <v>2953687.95</v>
      </c>
      <c r="H32" s="89">
        <v>199994498.15701336</v>
      </c>
      <c r="J32" s="267"/>
      <c r="K32" s="267"/>
    </row>
    <row r="33" spans="2:11" ht="35.1" customHeight="1">
      <c r="B33" s="92" t="s">
        <v>155</v>
      </c>
      <c r="C33" s="90">
        <v>21854000</v>
      </c>
      <c r="D33" s="90">
        <v>780086.9</v>
      </c>
      <c r="E33" s="90">
        <f>177017543.42-49930000</f>
        <v>127087543.41999999</v>
      </c>
      <c r="F33" s="90">
        <f t="shared" si="9"/>
        <v>49930000</v>
      </c>
      <c r="G33" s="141">
        <v>2964184.33</v>
      </c>
      <c r="H33" s="90">
        <v>202615814.66</v>
      </c>
      <c r="J33" s="267"/>
      <c r="K33" s="267"/>
    </row>
    <row r="34" spans="2:11" ht="35.1" customHeight="1">
      <c r="B34" s="91" t="s">
        <v>177</v>
      </c>
      <c r="C34" s="89">
        <v>21854000</v>
      </c>
      <c r="D34" s="89">
        <f>BILANS!AP37</f>
        <v>206404.34</v>
      </c>
      <c r="E34" s="89">
        <f>183966598.67-49930000</f>
        <v>134036598.66999999</v>
      </c>
      <c r="F34" s="89">
        <f t="shared" si="9"/>
        <v>49930000</v>
      </c>
      <c r="G34" s="140">
        <f>BILANS!AP40</f>
        <v>2885830.19</v>
      </c>
      <c r="H34" s="89">
        <f t="shared" ref="H34:H58" si="10">SUM(C34:G34)</f>
        <v>208912833.19999999</v>
      </c>
      <c r="J34" s="267"/>
      <c r="K34" s="267"/>
    </row>
    <row r="35" spans="2:11" ht="35.1" customHeight="1">
      <c r="B35" s="92" t="s">
        <v>180</v>
      </c>
      <c r="C35" s="90">
        <v>21854000</v>
      </c>
      <c r="D35" s="90">
        <v>629341.76</v>
      </c>
      <c r="E35" s="90">
        <f>177337970.73-49930000</f>
        <v>127407970.72999999</v>
      </c>
      <c r="F35" s="90">
        <f t="shared" si="9"/>
        <v>49930000</v>
      </c>
      <c r="G35" s="141">
        <v>2623586.06</v>
      </c>
      <c r="H35" s="90">
        <f t="shared" si="10"/>
        <v>202444898.54999998</v>
      </c>
      <c r="J35" s="267"/>
      <c r="K35" s="267"/>
    </row>
    <row r="36" spans="2:11" ht="35.1" customHeight="1">
      <c r="B36" s="91" t="s">
        <v>182</v>
      </c>
      <c r="C36" s="89">
        <v>21854000</v>
      </c>
      <c r="D36" s="89">
        <v>596217.72</v>
      </c>
      <c r="E36" s="89">
        <f>175552114.89-49930000</f>
        <v>125622114.88999999</v>
      </c>
      <c r="F36" s="89">
        <f t="shared" si="9"/>
        <v>49930000</v>
      </c>
      <c r="G36" s="89">
        <v>2607026.75</v>
      </c>
      <c r="H36" s="266">
        <f t="shared" si="10"/>
        <v>200609359.35999998</v>
      </c>
      <c r="J36" s="267"/>
      <c r="K36" s="267"/>
    </row>
    <row r="37" spans="2:11" ht="35.1" customHeight="1">
      <c r="B37" s="92" t="s">
        <v>183</v>
      </c>
      <c r="C37" s="90">
        <v>21854000</v>
      </c>
      <c r="D37" s="90">
        <f>BILANS!AM37</f>
        <v>672672.74</v>
      </c>
      <c r="E37" s="90">
        <f>177875090.44-49930000</f>
        <v>127945090.44</v>
      </c>
      <c r="F37" s="90">
        <f t="shared" si="9"/>
        <v>49930000</v>
      </c>
      <c r="G37" s="141">
        <f>BILANS!AM40</f>
        <v>2492781.54</v>
      </c>
      <c r="H37" s="90">
        <f t="shared" si="10"/>
        <v>202894544.72</v>
      </c>
      <c r="J37" s="267"/>
      <c r="K37" s="267"/>
    </row>
    <row r="38" spans="2:11" ht="35.1" customHeight="1">
      <c r="B38" s="91" t="s">
        <v>186</v>
      </c>
      <c r="C38" s="89">
        <v>21854000</v>
      </c>
      <c r="D38" s="89">
        <f>BILANS!AL37</f>
        <v>862826.9</v>
      </c>
      <c r="E38" s="89">
        <f>183621037.64-49930000</f>
        <v>133691037.63999999</v>
      </c>
      <c r="F38" s="89">
        <f t="shared" si="9"/>
        <v>49930000</v>
      </c>
      <c r="G38" s="140">
        <f>BILANS!AL40</f>
        <v>2557512.67</v>
      </c>
      <c r="H38" s="89">
        <f t="shared" si="10"/>
        <v>208895377.20999998</v>
      </c>
      <c r="J38" s="267"/>
      <c r="K38" s="267"/>
    </row>
    <row r="39" spans="2:11" ht="35.1" customHeight="1">
      <c r="B39" s="92" t="s">
        <v>188</v>
      </c>
      <c r="C39" s="90">
        <f>BILANS!AK36</f>
        <v>21854000</v>
      </c>
      <c r="D39" s="90">
        <f>BILANS!AK37</f>
        <v>895574.93</v>
      </c>
      <c r="E39" s="90">
        <f>180394752.74665-49930000</f>
        <v>130464752.74665001</v>
      </c>
      <c r="F39" s="90">
        <f t="shared" si="9"/>
        <v>49930000</v>
      </c>
      <c r="G39" s="141">
        <f>BILANS!AK40</f>
        <v>2476419.5570567362</v>
      </c>
      <c r="H39" s="90">
        <f t="shared" si="10"/>
        <v>205620747.23370674</v>
      </c>
      <c r="J39" s="267"/>
      <c r="K39" s="267"/>
    </row>
    <row r="40" spans="2:11" ht="35.1" customHeight="1">
      <c r="B40" s="91" t="s">
        <v>189</v>
      </c>
      <c r="C40" s="89">
        <v>21854000</v>
      </c>
      <c r="D40" s="89">
        <v>1232917.5699999998</v>
      </c>
      <c r="E40" s="89">
        <f>185824989.587512-49930000</f>
        <v>135894989.58751199</v>
      </c>
      <c r="F40" s="89">
        <f t="shared" si="9"/>
        <v>49930000</v>
      </c>
      <c r="G40" s="140">
        <v>1848893.0599999998</v>
      </c>
      <c r="H40" s="89">
        <f t="shared" si="10"/>
        <v>210760800.21751198</v>
      </c>
      <c r="J40" s="267"/>
      <c r="K40" s="267"/>
    </row>
    <row r="41" spans="2:11" ht="35.1" customHeight="1">
      <c r="B41" s="92" t="s">
        <v>190</v>
      </c>
      <c r="C41" s="90">
        <v>21854000</v>
      </c>
      <c r="D41" s="90">
        <f>BILANS!AI37</f>
        <v>1450158.46</v>
      </c>
      <c r="E41" s="90">
        <f>189111962.826347-49930000</f>
        <v>139181962.82634699</v>
      </c>
      <c r="F41" s="90">
        <f t="shared" si="9"/>
        <v>49930000</v>
      </c>
      <c r="G41" s="141">
        <f>BILANS!AI40</f>
        <v>1698604.4688000006</v>
      </c>
      <c r="H41" s="90">
        <f t="shared" si="10"/>
        <v>214114725.75514701</v>
      </c>
      <c r="J41" s="267"/>
      <c r="K41" s="267"/>
    </row>
    <row r="42" spans="2:11" ht="35.1" customHeight="1">
      <c r="B42" s="91" t="s">
        <v>193</v>
      </c>
      <c r="C42" s="89">
        <v>21854000</v>
      </c>
      <c r="D42" s="89">
        <f>BILANS!AH37</f>
        <v>1730698.86</v>
      </c>
      <c r="E42" s="89">
        <f>189762146.142008-49930000</f>
        <v>139832146.14200801</v>
      </c>
      <c r="F42" s="89">
        <f t="shared" si="9"/>
        <v>49930000</v>
      </c>
      <c r="G42" s="140">
        <f>BILANS!AH40</f>
        <v>1488269.4148000001</v>
      </c>
      <c r="H42" s="89">
        <f t="shared" si="10"/>
        <v>214835114.41680801</v>
      </c>
      <c r="J42" s="267"/>
      <c r="K42" s="267"/>
    </row>
    <row r="43" spans="2:11" ht="34.200000000000003" customHeight="1">
      <c r="B43" s="92" t="s">
        <v>199</v>
      </c>
      <c r="C43" s="90">
        <v>21854000</v>
      </c>
      <c r="D43" s="90">
        <f>BILANS!AG37</f>
        <v>1057380.67</v>
      </c>
      <c r="E43" s="90">
        <f>190631624.730311-49930000</f>
        <v>140701624.73031101</v>
      </c>
      <c r="F43" s="90">
        <f t="shared" si="9"/>
        <v>49930000</v>
      </c>
      <c r="G43" s="141">
        <f>BILANS!AG40</f>
        <v>1370816.3008000008</v>
      </c>
      <c r="H43" s="90">
        <f t="shared" si="10"/>
        <v>214913821.70111099</v>
      </c>
      <c r="J43" s="267"/>
      <c r="K43" s="267"/>
    </row>
    <row r="44" spans="2:11" ht="34.200000000000003" customHeight="1">
      <c r="B44" s="91" t="s">
        <v>200</v>
      </c>
      <c r="C44" s="89">
        <v>21854000</v>
      </c>
      <c r="D44" s="89">
        <f>BILANS!AF37</f>
        <v>84167.13</v>
      </c>
      <c r="E44" s="89">
        <f>188740280.998376-49930000</f>
        <v>138810280.99837601</v>
      </c>
      <c r="F44" s="89">
        <f t="shared" si="9"/>
        <v>49930000</v>
      </c>
      <c r="G44" s="140">
        <f>BILANS!AF40</f>
        <v>1227180.0708000003</v>
      </c>
      <c r="H44" s="89">
        <f t="shared" si="10"/>
        <v>211905628.19917601</v>
      </c>
      <c r="J44" s="267"/>
      <c r="K44" s="267"/>
    </row>
    <row r="45" spans="2:11" ht="34.200000000000003" customHeight="1">
      <c r="B45" s="92" t="s">
        <v>202</v>
      </c>
      <c r="C45" s="90">
        <v>21854000</v>
      </c>
      <c r="D45" s="90">
        <f>BILANS!AE37</f>
        <v>47874.94</v>
      </c>
      <c r="E45" s="90">
        <f>195114630.098861-49930000</f>
        <v>145184630.09886101</v>
      </c>
      <c r="F45" s="90">
        <f t="shared" si="9"/>
        <v>49930000</v>
      </c>
      <c r="G45" s="141">
        <f>BILANS!AE40</f>
        <v>1114414.3428000004</v>
      </c>
      <c r="H45" s="90">
        <f t="shared" si="10"/>
        <v>218130919.381661</v>
      </c>
      <c r="J45" s="267"/>
      <c r="K45" s="267"/>
    </row>
    <row r="46" spans="2:11" ht="34.200000000000003" customHeight="1">
      <c r="B46" s="91" t="s">
        <v>204</v>
      </c>
      <c r="C46" s="89">
        <v>21854000</v>
      </c>
      <c r="D46" s="89">
        <f>BILANS!AD37</f>
        <v>126021.33</v>
      </c>
      <c r="E46" s="89">
        <f>193932055.1661-49930000</f>
        <v>144002055.1661</v>
      </c>
      <c r="F46" s="89">
        <f t="shared" si="9"/>
        <v>49930000</v>
      </c>
      <c r="G46" s="140">
        <f>BILANS!AD40</f>
        <v>926695.81200000038</v>
      </c>
      <c r="H46" s="89">
        <f t="shared" si="10"/>
        <v>216838772.30810001</v>
      </c>
      <c r="J46" s="267"/>
      <c r="K46" s="267"/>
    </row>
    <row r="47" spans="2:11" ht="27" customHeight="1">
      <c r="B47" s="92" t="s">
        <v>207</v>
      </c>
      <c r="C47" s="90">
        <v>21854000</v>
      </c>
      <c r="D47" s="90">
        <f>BILANS!AC37</f>
        <v>220323.47</v>
      </c>
      <c r="E47" s="90">
        <f>190263937.3-49930000</f>
        <v>140333937.30000001</v>
      </c>
      <c r="F47" s="90">
        <f t="shared" si="9"/>
        <v>49930000</v>
      </c>
      <c r="G47" s="141">
        <f>BILANS!AC40</f>
        <v>1524816.07</v>
      </c>
      <c r="H47" s="90">
        <f t="shared" si="10"/>
        <v>213863076.84</v>
      </c>
      <c r="J47" s="267"/>
      <c r="K47" s="267"/>
    </row>
    <row r="48" spans="2:11" ht="27" customHeight="1">
      <c r="B48" s="91" t="s">
        <v>209</v>
      </c>
      <c r="C48" s="89">
        <v>21854000</v>
      </c>
      <c r="D48" s="89">
        <f>BILANS!AB37</f>
        <v>-76545.38</v>
      </c>
      <c r="E48" s="89">
        <f>194486913.87-49930000</f>
        <v>144556913.87</v>
      </c>
      <c r="F48" s="89">
        <f t="shared" si="9"/>
        <v>49930000</v>
      </c>
      <c r="G48" s="140">
        <f>BILANS!AB40</f>
        <v>1499363.8</v>
      </c>
      <c r="H48" s="89">
        <f t="shared" si="10"/>
        <v>217763732.29000002</v>
      </c>
      <c r="J48" s="267"/>
      <c r="K48" s="267"/>
    </row>
    <row r="49" spans="2:11" ht="27" customHeight="1">
      <c r="B49" s="92" t="s">
        <v>212</v>
      </c>
      <c r="C49" s="90">
        <v>21854000</v>
      </c>
      <c r="D49" s="90">
        <f>BILANS!AA37</f>
        <v>-811841.67</v>
      </c>
      <c r="E49" s="90">
        <f>198359933.66-49930000</f>
        <v>148429933.66</v>
      </c>
      <c r="F49" s="90">
        <f t="shared" si="9"/>
        <v>49930000</v>
      </c>
      <c r="G49" s="141">
        <f>BILANS!AA40</f>
        <v>1508307.77</v>
      </c>
      <c r="H49" s="90">
        <f t="shared" si="10"/>
        <v>220910399.76000002</v>
      </c>
      <c r="J49" s="267"/>
      <c r="K49" s="267"/>
    </row>
    <row r="50" spans="2:11" ht="34.200000000000003" customHeight="1">
      <c r="B50" s="91" t="s">
        <v>215</v>
      </c>
      <c r="C50" s="89">
        <v>21854000</v>
      </c>
      <c r="D50" s="89">
        <f>BILANS!Z37</f>
        <v>2014397.69</v>
      </c>
      <c r="E50" s="89">
        <f>210072393.2-49930000</f>
        <v>160142393.19999999</v>
      </c>
      <c r="F50" s="89">
        <f t="shared" si="9"/>
        <v>49930000</v>
      </c>
      <c r="G50" s="89">
        <f>BILANS!Z40</f>
        <v>1519702.64</v>
      </c>
      <c r="H50" s="495">
        <f t="shared" si="10"/>
        <v>235460493.52999997</v>
      </c>
      <c r="J50" s="267"/>
      <c r="K50" s="267"/>
    </row>
    <row r="51" spans="2:11" ht="27" customHeight="1">
      <c r="B51" s="92" t="s">
        <v>217</v>
      </c>
      <c r="C51" s="90">
        <v>21854000</v>
      </c>
      <c r="D51" s="90">
        <f>BILANS!Y37</f>
        <v>1815589.1600000001</v>
      </c>
      <c r="E51" s="90">
        <f>210272506.63-49930000</f>
        <v>160342506.63</v>
      </c>
      <c r="F51" s="90">
        <f t="shared" si="9"/>
        <v>49930000</v>
      </c>
      <c r="G51" s="90">
        <f>BILANS!Y40</f>
        <v>1517336.72</v>
      </c>
      <c r="H51" s="496">
        <f t="shared" si="10"/>
        <v>235459432.50999999</v>
      </c>
      <c r="J51" s="267"/>
      <c r="K51" s="267"/>
    </row>
    <row r="52" spans="2:11" ht="27" customHeight="1">
      <c r="B52" s="91" t="s">
        <v>221</v>
      </c>
      <c r="C52" s="89">
        <v>21854000</v>
      </c>
      <c r="D52" s="89">
        <v>1786334.82</v>
      </c>
      <c r="E52" s="89">
        <f>215091980.18-49930000</f>
        <v>165161980.18000001</v>
      </c>
      <c r="F52" s="89">
        <f t="shared" si="9"/>
        <v>49930000</v>
      </c>
      <c r="G52" s="89">
        <f>BILANS!X40</f>
        <v>1172335.52</v>
      </c>
      <c r="H52" s="495">
        <f t="shared" si="10"/>
        <v>239904650.52000001</v>
      </c>
      <c r="J52" s="267"/>
      <c r="K52" s="267"/>
    </row>
    <row r="53" spans="2:11" ht="27" customHeight="1">
      <c r="B53" s="92" t="s">
        <v>225</v>
      </c>
      <c r="C53" s="90">
        <v>30054000</v>
      </c>
      <c r="D53" s="90">
        <f>1289101.12+113102.1</f>
        <v>1402203.2200000002</v>
      </c>
      <c r="E53" s="90">
        <f>219209447.71-106100000</f>
        <v>113109447.71000001</v>
      </c>
      <c r="F53" s="90">
        <f>$F$14</f>
        <v>106100000</v>
      </c>
      <c r="G53" s="90">
        <v>1309014.8500000001</v>
      </c>
      <c r="H53" s="496">
        <f t="shared" si="10"/>
        <v>251974665.78</v>
      </c>
      <c r="J53" s="267"/>
      <c r="K53" s="267"/>
    </row>
    <row r="54" spans="2:11" ht="27" customHeight="1">
      <c r="B54" s="91" t="s">
        <v>228</v>
      </c>
      <c r="C54" s="89">
        <v>30054000</v>
      </c>
      <c r="D54" s="89">
        <f>BILANS!V37</f>
        <v>2341805.14</v>
      </c>
      <c r="E54" s="89">
        <f>232761110.2-106100000</f>
        <v>126661110.19999999</v>
      </c>
      <c r="F54" s="89">
        <f t="shared" ref="F54:F62" si="11">$F$14</f>
        <v>106100000</v>
      </c>
      <c r="G54" s="89">
        <f>BILANS!V40</f>
        <v>1302669.51</v>
      </c>
      <c r="H54" s="495">
        <f t="shared" si="10"/>
        <v>266459584.84999996</v>
      </c>
      <c r="J54" s="267"/>
      <c r="K54" s="267"/>
    </row>
    <row r="55" spans="2:11" ht="27" customHeight="1">
      <c r="B55" s="92" t="s">
        <v>232</v>
      </c>
      <c r="C55" s="90">
        <v>30054000</v>
      </c>
      <c r="D55" s="90">
        <f>BILANS!U37</f>
        <v>1836821.53</v>
      </c>
      <c r="E55" s="90">
        <f>236275906.85-106100000</f>
        <v>130175906.84999999</v>
      </c>
      <c r="F55" s="90">
        <f t="shared" si="11"/>
        <v>106100000</v>
      </c>
      <c r="G55" s="90">
        <f>BILANS!U40</f>
        <v>1268058.9099999999</v>
      </c>
      <c r="H55" s="496">
        <f t="shared" si="10"/>
        <v>269434787.29000002</v>
      </c>
      <c r="J55" s="267"/>
      <c r="K55" s="267"/>
    </row>
    <row r="56" spans="2:11" ht="27" customHeight="1">
      <c r="B56" s="91" t="s">
        <v>236</v>
      </c>
      <c r="C56" s="89">
        <v>30054000</v>
      </c>
      <c r="D56" s="89">
        <f>BILANS!T37</f>
        <v>2100988.86</v>
      </c>
      <c r="E56" s="89">
        <f>238200360.02-106100000</f>
        <v>132100360.02000001</v>
      </c>
      <c r="F56" s="89">
        <f t="shared" si="11"/>
        <v>106100000</v>
      </c>
      <c r="G56" s="89">
        <f>BILANS!T40+0.01</f>
        <v>982096.09</v>
      </c>
      <c r="H56" s="495">
        <f t="shared" si="10"/>
        <v>271337444.96999997</v>
      </c>
      <c r="J56" s="267"/>
      <c r="K56" s="267"/>
    </row>
    <row r="57" spans="2:11" ht="27" customHeight="1">
      <c r="B57" s="92" t="s">
        <v>237</v>
      </c>
      <c r="C57" s="90">
        <v>30054000</v>
      </c>
      <c r="D57" s="90">
        <f>BILANS!S37</f>
        <v>1949210.03</v>
      </c>
      <c r="E57" s="90">
        <f>247303624.29-106100000</f>
        <v>141203624.28999999</v>
      </c>
      <c r="F57" s="90">
        <f t="shared" si="11"/>
        <v>106100000</v>
      </c>
      <c r="G57" s="90">
        <v>1005085.68</v>
      </c>
      <c r="H57" s="496">
        <f t="shared" si="10"/>
        <v>280311920</v>
      </c>
      <c r="J57" s="267"/>
      <c r="K57" s="267"/>
    </row>
    <row r="58" spans="2:11" ht="27" customHeight="1">
      <c r="B58" s="91" t="s">
        <v>240</v>
      </c>
      <c r="C58" s="89">
        <v>30054000</v>
      </c>
      <c r="D58" s="89">
        <f>BILANS!R37</f>
        <v>2658090.0099999998</v>
      </c>
      <c r="E58" s="89">
        <f>255180487.43-106100000</f>
        <v>149080487.43000001</v>
      </c>
      <c r="F58" s="89">
        <f t="shared" si="11"/>
        <v>106100000</v>
      </c>
      <c r="G58" s="89">
        <v>1008600.65</v>
      </c>
      <c r="H58" s="495">
        <f t="shared" si="10"/>
        <v>288901178.08999997</v>
      </c>
      <c r="J58" s="267"/>
      <c r="K58" s="267"/>
    </row>
    <row r="59" spans="2:11" ht="24.6" customHeight="1">
      <c r="B59" s="92" t="s">
        <v>244</v>
      </c>
      <c r="C59" s="90">
        <v>30054000</v>
      </c>
      <c r="D59" s="90">
        <f>BILANS!Q37</f>
        <v>1995293.66</v>
      </c>
      <c r="E59" s="90">
        <v>154105999.05000001</v>
      </c>
      <c r="F59" s="90">
        <f>$F$14</f>
        <v>106100000</v>
      </c>
      <c r="G59" s="90">
        <f>BILANS!Q40</f>
        <v>1025365.66</v>
      </c>
      <c r="H59" s="496">
        <f t="shared" ref="H59" si="12">SUM(C59:G59)</f>
        <v>293280658.37000006</v>
      </c>
    </row>
    <row r="60" spans="2:11" ht="24.6" customHeight="1">
      <c r="B60" s="91" t="s">
        <v>246</v>
      </c>
      <c r="C60" s="89">
        <v>30054000</v>
      </c>
      <c r="D60" s="89">
        <f>BILANS!P37</f>
        <v>1677826.5199999998</v>
      </c>
      <c r="E60" s="89">
        <f>BILANS!P38-ZZWKW!F60</f>
        <v>156338170.50999999</v>
      </c>
      <c r="F60" s="89">
        <f t="shared" si="11"/>
        <v>106100000</v>
      </c>
      <c r="G60" s="89">
        <f>BILANS!P40</f>
        <v>898658.96</v>
      </c>
      <c r="H60" s="495">
        <f t="shared" ref="H60" si="13">SUM(C60:G60)</f>
        <v>295068655.98999995</v>
      </c>
    </row>
    <row r="61" spans="2:11" ht="24.6" customHeight="1">
      <c r="B61" s="92" t="s">
        <v>247</v>
      </c>
      <c r="C61" s="90">
        <v>30054000</v>
      </c>
      <c r="D61" s="90">
        <f>BILANS!O37</f>
        <v>1416899.9300000002</v>
      </c>
      <c r="E61" s="90">
        <f>BILANS!O38-ZZWKW!F61</f>
        <v>167703409.50999999</v>
      </c>
      <c r="F61" s="90">
        <f t="shared" si="11"/>
        <v>106100000</v>
      </c>
      <c r="G61" s="90">
        <f>BILANS!O40</f>
        <v>925560.99</v>
      </c>
      <c r="H61" s="496">
        <f t="shared" ref="H61" si="14">SUM(C61:G61)</f>
        <v>306199870.43000001</v>
      </c>
    </row>
    <row r="62" spans="2:11" ht="27" customHeight="1">
      <c r="B62" s="91" t="s">
        <v>250</v>
      </c>
      <c r="C62" s="89">
        <v>30054000</v>
      </c>
      <c r="D62" s="89">
        <f>BILANS!N37</f>
        <v>1310092.26</v>
      </c>
      <c r="E62" s="89">
        <f>BILANS!N38-ZZWKW!F62</f>
        <v>179818247.10000002</v>
      </c>
      <c r="F62" s="89">
        <f t="shared" si="11"/>
        <v>106100000</v>
      </c>
      <c r="G62" s="89">
        <f>BILANS!N40</f>
        <v>1137392.58</v>
      </c>
      <c r="H62" s="495">
        <f t="shared" ref="H62" si="15">SUM(C62:G62)</f>
        <v>318419731.94</v>
      </c>
      <c r="J62" s="267"/>
      <c r="K62" s="267"/>
    </row>
    <row r="63" spans="2:11" ht="24.6" customHeight="1">
      <c r="B63" s="92" t="s">
        <v>253</v>
      </c>
      <c r="C63" s="90">
        <v>30054000</v>
      </c>
      <c r="D63" s="90">
        <f>BILANS!M37</f>
        <v>1056156.7999999998</v>
      </c>
      <c r="E63" s="90">
        <f>BILANS!M38-F63</f>
        <v>181931804.89999998</v>
      </c>
      <c r="F63" s="90">
        <f>$F$14</f>
        <v>106100000</v>
      </c>
      <c r="G63" s="90">
        <f>BILANS!M40</f>
        <v>1186943.8999999999</v>
      </c>
      <c r="H63" s="496">
        <f t="shared" ref="H63" si="16">SUM(C63:G63)</f>
        <v>320328905.59999996</v>
      </c>
    </row>
    <row r="64" spans="2:11" ht="27" customHeight="1">
      <c r="B64" s="91" t="s">
        <v>258</v>
      </c>
      <c r="C64" s="89">
        <v>30054000</v>
      </c>
      <c r="D64" s="89">
        <f>BILANS!L37</f>
        <v>2665503.2000000002</v>
      </c>
      <c r="E64" s="89">
        <f>BILANS!L38-F64</f>
        <v>176947059.48000002</v>
      </c>
      <c r="F64" s="89">
        <f>$F$14</f>
        <v>106100000</v>
      </c>
      <c r="G64" s="89">
        <f>BILANS!L40</f>
        <v>1145239.21</v>
      </c>
      <c r="H64" s="495">
        <f t="shared" ref="H64" si="17">SUM(C64:G64)</f>
        <v>316911801.88999999</v>
      </c>
      <c r="J64" s="267"/>
      <c r="K64" s="267"/>
    </row>
    <row r="65" spans="2:8" ht="22.2" customHeight="1">
      <c r="B65" s="92" t="s">
        <v>264</v>
      </c>
      <c r="C65" s="90">
        <v>30054000</v>
      </c>
      <c r="D65" s="90">
        <f>BILANS!K37</f>
        <v>3324495.77</v>
      </c>
      <c r="E65" s="90">
        <f>BILANS!K38-F65</f>
        <v>179161527.25</v>
      </c>
      <c r="F65" s="90">
        <f t="shared" ref="F65:F66" si="18">$F$14</f>
        <v>106100000</v>
      </c>
      <c r="G65" s="90">
        <f>BILANS!K40</f>
        <v>1121877.48</v>
      </c>
      <c r="H65" s="496">
        <f t="shared" ref="H65" si="19">SUM(C65:G65)</f>
        <v>319761900.5</v>
      </c>
    </row>
    <row r="66" spans="2:8" ht="26.4" customHeight="1">
      <c r="B66" s="91" t="s">
        <v>267</v>
      </c>
      <c r="C66" s="89">
        <v>30054000</v>
      </c>
      <c r="D66" s="89">
        <f>BILANS!J37</f>
        <v>3839736.9</v>
      </c>
      <c r="E66" s="89">
        <v>180788685.06999999</v>
      </c>
      <c r="F66" s="89">
        <f t="shared" si="18"/>
        <v>106100000</v>
      </c>
      <c r="G66" s="89">
        <f>BILANS!J40</f>
        <v>1062662.19</v>
      </c>
      <c r="H66" s="495">
        <f t="shared" ref="H66" si="20">SUM(C66:G66)</f>
        <v>321845084.16000003</v>
      </c>
    </row>
    <row r="67" spans="2:8" ht="29.4" customHeight="1">
      <c r="B67" s="92" t="s">
        <v>269</v>
      </c>
      <c r="C67" s="90">
        <v>30054000</v>
      </c>
      <c r="D67" s="90">
        <f>BILANS!I37</f>
        <v>2285716.94</v>
      </c>
      <c r="E67" s="90">
        <f>BILANS!I38-F67</f>
        <v>184779296.30000001</v>
      </c>
      <c r="F67" s="90">
        <f>$F$14</f>
        <v>106100000</v>
      </c>
      <c r="G67" s="90">
        <f>BILANS!I40</f>
        <v>1067796.56</v>
      </c>
      <c r="H67" s="496">
        <f t="shared" ref="H67:H69" si="21">SUM(C67:G67)</f>
        <v>324286809.80000001</v>
      </c>
    </row>
    <row r="68" spans="2:8" ht="24.6" customHeight="1">
      <c r="B68" s="91" t="s">
        <v>272</v>
      </c>
      <c r="C68" s="89">
        <v>30054000</v>
      </c>
      <c r="D68" s="89">
        <f>BILANS!H37</f>
        <v>3815877.24</v>
      </c>
      <c r="E68" s="89">
        <f>BILANS!H38-F68</f>
        <v>222027611.94</v>
      </c>
      <c r="F68" s="89">
        <f>$F$14</f>
        <v>106100000</v>
      </c>
      <c r="G68" s="89">
        <f>BILANS!H40</f>
        <v>940106.23999999999</v>
      </c>
      <c r="H68" s="495">
        <f t="shared" si="21"/>
        <v>362937595.42000002</v>
      </c>
    </row>
    <row r="69" spans="2:8" ht="27.6" customHeight="1">
      <c r="B69" s="92" t="s">
        <v>274</v>
      </c>
      <c r="C69" s="90">
        <v>30054000</v>
      </c>
      <c r="D69" s="90">
        <f>BILANS!G37</f>
        <v>3233091.6999999997</v>
      </c>
      <c r="E69" s="90">
        <f>BILANS!G38-F69</f>
        <v>236930169.83000004</v>
      </c>
      <c r="F69" s="90">
        <f t="shared" ref="F69:F74" si="22">$F$14</f>
        <v>106100000</v>
      </c>
      <c r="G69" s="90">
        <f>BILANS!G40</f>
        <v>947665.59</v>
      </c>
      <c r="H69" s="496">
        <f t="shared" si="21"/>
        <v>377264927.12</v>
      </c>
    </row>
    <row r="70" spans="2:8" ht="26.4" customHeight="1">
      <c r="B70" s="91" t="s">
        <v>277</v>
      </c>
      <c r="C70" s="89">
        <v>30054000</v>
      </c>
      <c r="D70" s="89">
        <f>BILANS!F37</f>
        <v>2365359.0700000003</v>
      </c>
      <c r="E70" s="89">
        <v>251987121.36000001</v>
      </c>
      <c r="F70" s="89">
        <f t="shared" si="22"/>
        <v>106100000</v>
      </c>
      <c r="G70" s="89">
        <f>BILANS!F40</f>
        <v>950926.41</v>
      </c>
      <c r="H70" s="495">
        <f t="shared" ref="H70:H71" si="23">SUM(C70:G70)</f>
        <v>391457406.84000003</v>
      </c>
    </row>
    <row r="71" spans="2:8" ht="23.4" customHeight="1">
      <c r="B71" s="92" t="s">
        <v>279</v>
      </c>
      <c r="C71" s="90">
        <v>30054000</v>
      </c>
      <c r="D71" s="90">
        <f>BILANS!E37</f>
        <v>2531756.75</v>
      </c>
      <c r="E71" s="90">
        <v>296599260.80000001</v>
      </c>
      <c r="F71" s="90">
        <f>$F$14</f>
        <v>106100000</v>
      </c>
      <c r="G71" s="90">
        <f>BILANS!E40</f>
        <v>904387.04</v>
      </c>
      <c r="H71" s="496">
        <f t="shared" si="23"/>
        <v>436189404.59000003</v>
      </c>
    </row>
    <row r="72" spans="2:8" ht="28.5" customHeight="1">
      <c r="B72" s="91" t="s">
        <v>282</v>
      </c>
      <c r="C72" s="89">
        <v>30054000</v>
      </c>
      <c r="D72" s="89">
        <f>BILANS!D37</f>
        <v>2962306.3000000003</v>
      </c>
      <c r="E72" s="89">
        <f>BILANS!D38-ZZWKW!F72</f>
        <v>322823443.31999999</v>
      </c>
      <c r="F72" s="89">
        <f t="shared" si="22"/>
        <v>106100000</v>
      </c>
      <c r="G72" s="89">
        <f>BILANS!D40</f>
        <v>866967.21</v>
      </c>
      <c r="H72" s="495">
        <f>SUM(C72:G72)+0.01</f>
        <v>462806716.83999997</v>
      </c>
    </row>
    <row r="73" spans="2:8" ht="27.6" customHeight="1">
      <c r="B73" s="92" t="s">
        <v>285</v>
      </c>
      <c r="C73" s="90">
        <v>30054000</v>
      </c>
      <c r="D73" s="90">
        <f>BILANS!C37</f>
        <v>3585842.5</v>
      </c>
      <c r="E73" s="90">
        <f>BILANS!C38-F73</f>
        <v>334443395.07999998</v>
      </c>
      <c r="F73" s="90">
        <f t="shared" si="22"/>
        <v>106100000</v>
      </c>
      <c r="G73" s="90">
        <f>BILANS!C40</f>
        <v>830536.01</v>
      </c>
      <c r="H73" s="496">
        <f t="shared" ref="H73" si="24">SUM(C73:G73)</f>
        <v>475013773.58999997</v>
      </c>
    </row>
    <row r="74" spans="2:8" ht="18">
      <c r="B74" s="91" t="s">
        <v>288</v>
      </c>
      <c r="C74" s="89">
        <v>30054000</v>
      </c>
      <c r="D74" s="89">
        <f>BILANS!B37</f>
        <v>3264793.34</v>
      </c>
      <c r="E74" s="89">
        <f>BILANS!B38-ZZWKW!F74</f>
        <v>379830190.77999997</v>
      </c>
      <c r="F74" s="89">
        <f t="shared" si="22"/>
        <v>106100000</v>
      </c>
      <c r="G74" s="89">
        <f>BILANS!B40-0.01</f>
        <v>843693.17</v>
      </c>
      <c r="H74" s="495">
        <f t="shared" ref="H74" si="25">SUM(C74:G74)</f>
        <v>520092677.28999996</v>
      </c>
    </row>
  </sheetData>
  <mergeCells count="7">
    <mergeCell ref="A1:H1"/>
    <mergeCell ref="E4:F4"/>
    <mergeCell ref="A21:A32"/>
    <mergeCell ref="H4:H5"/>
    <mergeCell ref="D4:D5"/>
    <mergeCell ref="C4:C5"/>
    <mergeCell ref="A6:A10"/>
  </mergeCells>
  <pageMargins left="0.19685039370078741" right="0" top="0.19685039370078741" bottom="0.19685039370078741" header="0" footer="0"/>
  <pageSetup paperSize="9" scale="28" orientation="landscape" horizontalDpi="4294967293" verticalDpi="4294967293" r:id="rId1"/>
  <headerFooter>
    <oddFooter>&amp;RREDWOOD PR
powered by PROFESCAPITAL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BD53"/>
  <sheetViews>
    <sheetView showGridLines="0" topLeftCell="A31" zoomScale="60" zoomScaleNormal="60" zoomScaleSheetLayoutView="20" zoomScalePageLayoutView="60" workbookViewId="0">
      <pane xSplit="1" topLeftCell="B1" activePane="topRight" state="frozen"/>
      <selection activeCell="J51" sqref="J51"/>
      <selection pane="topRight" activeCell="B48" sqref="B48"/>
    </sheetView>
  </sheetViews>
  <sheetFormatPr defaultRowHeight="18"/>
  <cols>
    <col min="1" max="1" width="80.6640625" customWidth="1"/>
    <col min="2" max="2" width="25.33203125" customWidth="1"/>
    <col min="3" max="3" width="26.88671875" customWidth="1"/>
    <col min="4" max="4" width="20" customWidth="1"/>
    <col min="5" max="6" width="21.6640625" customWidth="1"/>
    <col min="7" max="7" width="26.88671875" customWidth="1"/>
    <col min="8" max="8" width="20" customWidth="1"/>
    <col min="9" max="12" width="21.6640625" customWidth="1"/>
    <col min="13" max="13" width="21.6640625" style="40" customWidth="1"/>
    <col min="14" max="14" width="21.6640625" customWidth="1"/>
    <col min="15" max="15" width="21.6640625" style="9" customWidth="1"/>
    <col min="16" max="30" width="21.6640625" customWidth="1"/>
    <col min="31" max="31" width="22.5546875" customWidth="1"/>
    <col min="32" max="32" width="30.6640625" customWidth="1"/>
    <col min="33" max="33" width="25.109375" customWidth="1"/>
    <col min="37" max="37" width="17.88671875" customWidth="1"/>
  </cols>
  <sheetData>
    <row r="1" spans="1:56" ht="50.1" customHeight="1">
      <c r="A1" s="337" t="s">
        <v>152</v>
      </c>
      <c r="B1" s="337"/>
      <c r="C1" s="337"/>
      <c r="D1" s="337"/>
      <c r="E1" s="130"/>
      <c r="F1" s="130"/>
      <c r="G1" s="337"/>
      <c r="H1" s="337"/>
      <c r="I1" s="130"/>
      <c r="J1" s="130"/>
      <c r="K1" s="130"/>
      <c r="L1" s="130"/>
      <c r="M1" s="228"/>
      <c r="N1" s="130"/>
      <c r="O1" s="167"/>
      <c r="P1" s="130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09"/>
      <c r="AC1" s="2"/>
      <c r="AD1" s="2"/>
    </row>
    <row r="2" spans="1:56" ht="27.9" customHeight="1"/>
    <row r="3" spans="1:56" ht="27.9" customHeight="1">
      <c r="A3" s="370" t="s">
        <v>150</v>
      </c>
      <c r="B3" s="370"/>
      <c r="C3" s="370"/>
      <c r="D3" s="370"/>
      <c r="E3" s="370"/>
      <c r="F3" s="370"/>
      <c r="G3" s="370"/>
      <c r="H3" s="370"/>
      <c r="I3" s="532" t="s">
        <v>143</v>
      </c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</row>
    <row r="4" spans="1:56" ht="24" customHeight="1"/>
    <row r="5" spans="1:56" ht="27.9" customHeight="1">
      <c r="A5" s="359"/>
      <c r="B5" s="230" t="s">
        <v>287</v>
      </c>
      <c r="C5" s="360" t="s">
        <v>285</v>
      </c>
      <c r="D5" s="230" t="s">
        <v>283</v>
      </c>
      <c r="E5" s="361" t="s">
        <v>280</v>
      </c>
      <c r="F5" s="230" t="s">
        <v>276</v>
      </c>
      <c r="G5" s="360" t="s">
        <v>274</v>
      </c>
      <c r="H5" s="230" t="s">
        <v>273</v>
      </c>
      <c r="I5" s="361" t="s">
        <v>270</v>
      </c>
      <c r="J5" s="230" t="s">
        <v>266</v>
      </c>
      <c r="K5" s="360" t="s">
        <v>264</v>
      </c>
      <c r="L5" s="230" t="s">
        <v>256</v>
      </c>
      <c r="M5" s="361" t="s">
        <v>254</v>
      </c>
      <c r="N5" s="230" t="s">
        <v>249</v>
      </c>
      <c r="O5" s="360" t="s">
        <v>247</v>
      </c>
      <c r="P5" s="230" t="s">
        <v>245</v>
      </c>
      <c r="Q5" s="361" t="s">
        <v>243</v>
      </c>
      <c r="R5" s="230" t="s">
        <v>239</v>
      </c>
      <c r="S5" s="360" t="s">
        <v>238</v>
      </c>
      <c r="T5" s="230" t="s">
        <v>235</v>
      </c>
      <c r="U5" s="361" t="s">
        <v>231</v>
      </c>
      <c r="V5" s="230" t="s">
        <v>227</v>
      </c>
      <c r="W5" s="360" t="s">
        <v>226</v>
      </c>
      <c r="X5" s="230" t="s">
        <v>220</v>
      </c>
      <c r="Y5" s="361" t="s">
        <v>218</v>
      </c>
      <c r="Z5" s="230" t="s">
        <v>214</v>
      </c>
      <c r="AA5" s="360" t="s">
        <v>213</v>
      </c>
      <c r="AB5" s="230" t="s">
        <v>208</v>
      </c>
      <c r="AC5" s="361" t="s">
        <v>206</v>
      </c>
      <c r="AD5" s="230" t="s">
        <v>203</v>
      </c>
      <c r="AE5" s="360" t="s">
        <v>205</v>
      </c>
      <c r="AF5" s="230" t="s">
        <v>201</v>
      </c>
      <c r="AG5" s="361" t="s">
        <v>198</v>
      </c>
      <c r="AH5" s="230" t="s">
        <v>192</v>
      </c>
      <c r="AI5" s="360" t="s">
        <v>191</v>
      </c>
      <c r="AJ5" s="230" t="s">
        <v>196</v>
      </c>
      <c r="AK5" s="361" t="s">
        <v>187</v>
      </c>
      <c r="AL5" s="230" t="s">
        <v>185</v>
      </c>
      <c r="AM5" s="360" t="s">
        <v>184</v>
      </c>
      <c r="AN5" s="230" t="s">
        <v>181</v>
      </c>
      <c r="AO5" s="361" t="s">
        <v>179</v>
      </c>
      <c r="AP5" s="230" t="s">
        <v>175</v>
      </c>
      <c r="AQ5" s="360" t="s">
        <v>156</v>
      </c>
      <c r="AR5" s="362" t="s">
        <v>114</v>
      </c>
      <c r="AS5" s="361" t="s">
        <v>14</v>
      </c>
      <c r="AT5" s="363" t="s">
        <v>15</v>
      </c>
      <c r="AU5" s="360" t="s">
        <v>16</v>
      </c>
      <c r="AV5" s="363" t="s">
        <v>17</v>
      </c>
      <c r="AW5" s="361" t="s">
        <v>18</v>
      </c>
      <c r="AX5" s="363" t="s">
        <v>19</v>
      </c>
      <c r="AY5" s="360" t="s">
        <v>20</v>
      </c>
      <c r="AZ5" s="363" t="s">
        <v>21</v>
      </c>
      <c r="BA5" s="361" t="s">
        <v>22</v>
      </c>
      <c r="BB5" s="363" t="s">
        <v>23</v>
      </c>
      <c r="BC5" s="361" t="s">
        <v>24</v>
      </c>
    </row>
    <row r="6" spans="1:56" ht="27.9" customHeight="1">
      <c r="A6" s="364" t="s">
        <v>112</v>
      </c>
      <c r="B6" s="365">
        <v>63304364.240000002</v>
      </c>
      <c r="C6" s="366">
        <v>29145608.93</v>
      </c>
      <c r="D6" s="365">
        <v>122017114.12</v>
      </c>
      <c r="E6" s="367">
        <v>92590114.900000006</v>
      </c>
      <c r="F6" s="365">
        <v>56706185.369999997</v>
      </c>
      <c r="G6" s="366">
        <v>29890439.41</v>
      </c>
      <c r="H6" s="365">
        <v>97715905.939999998</v>
      </c>
      <c r="I6" s="367">
        <v>67528293.510000005</v>
      </c>
      <c r="J6" s="365">
        <v>39288628.579999998</v>
      </c>
      <c r="K6" s="366">
        <v>18001793.09</v>
      </c>
      <c r="L6" s="365">
        <v>123725017.41</v>
      </c>
      <c r="M6" s="367">
        <v>97916694.780000001</v>
      </c>
      <c r="N6" s="365">
        <v>66393415.890000001</v>
      </c>
      <c r="O6" s="366">
        <v>33209951.23</v>
      </c>
      <c r="P6" s="365">
        <v>123832748.13</v>
      </c>
      <c r="Q6" s="367">
        <v>98232618.359999999</v>
      </c>
      <c r="R6" s="365">
        <v>65130362.770000003</v>
      </c>
      <c r="S6" s="366">
        <v>34266459.210000001</v>
      </c>
      <c r="T6" s="365">
        <v>113240589.88</v>
      </c>
      <c r="U6" s="367">
        <v>93137210.049999997</v>
      </c>
      <c r="V6" s="365">
        <v>65431926.590000004</v>
      </c>
      <c r="W6" s="366">
        <v>39017498.109999999</v>
      </c>
      <c r="X6" s="365">
        <v>109754179.23</v>
      </c>
      <c r="Y6" s="367">
        <v>75012102.060000002</v>
      </c>
      <c r="Z6" s="365">
        <v>50552965.359999999</v>
      </c>
      <c r="AA6" s="366">
        <v>22384403.07</v>
      </c>
      <c r="AB6" s="365">
        <v>90845300.890000001</v>
      </c>
      <c r="AC6" s="367">
        <v>73322945.090000004</v>
      </c>
      <c r="AD6" s="365">
        <v>53650751.219999999</v>
      </c>
      <c r="AE6" s="366">
        <v>31806720.850000001</v>
      </c>
      <c r="AF6" s="365">
        <v>98151715.489999995</v>
      </c>
      <c r="AG6" s="367">
        <v>77269270.090000004</v>
      </c>
      <c r="AH6" s="365">
        <v>46316756.49000001</v>
      </c>
      <c r="AI6" s="366">
        <v>22850969.990000002</v>
      </c>
      <c r="AJ6" s="365">
        <v>122515123.84999999</v>
      </c>
      <c r="AK6" s="367">
        <v>77563583.379999995</v>
      </c>
      <c r="AL6" s="365">
        <v>53965840.270000003</v>
      </c>
      <c r="AM6" s="366">
        <v>26067801.34</v>
      </c>
      <c r="AN6" s="365">
        <v>98060785.109999999</v>
      </c>
      <c r="AO6" s="367">
        <v>75524315.489999995</v>
      </c>
      <c r="AP6" s="365">
        <v>52454903.229999997</v>
      </c>
      <c r="AQ6" s="366">
        <v>25968984.649999999</v>
      </c>
      <c r="AR6" s="369">
        <v>101276397.04000001</v>
      </c>
      <c r="AS6" s="367">
        <v>84069182.360000014</v>
      </c>
      <c r="AT6" s="369">
        <v>57056468.949999996</v>
      </c>
      <c r="AU6" s="366">
        <v>25304413.77</v>
      </c>
      <c r="AV6" s="369">
        <v>85108582.159999996</v>
      </c>
      <c r="AW6" s="367">
        <v>70887888.400000006</v>
      </c>
      <c r="AX6" s="369">
        <v>48726945.18</v>
      </c>
      <c r="AY6" s="366">
        <v>22278309.289999995</v>
      </c>
      <c r="AZ6" s="369">
        <v>74296009.840000004</v>
      </c>
      <c r="BA6" s="367">
        <v>58487000</v>
      </c>
      <c r="BB6" s="369">
        <v>39558000</v>
      </c>
      <c r="BC6" s="367">
        <v>19061000</v>
      </c>
      <c r="BD6" s="129"/>
    </row>
    <row r="7" spans="1:56" ht="27.9" customHeight="1">
      <c r="A7" s="144" t="s">
        <v>108</v>
      </c>
      <c r="B7" s="213">
        <v>28815075.469999999</v>
      </c>
      <c r="C7" s="80">
        <v>11398982.470000001</v>
      </c>
      <c r="D7" s="213">
        <v>76377199.319999993</v>
      </c>
      <c r="E7" s="79">
        <v>53355561.609999999</v>
      </c>
      <c r="F7" s="213">
        <v>16541719.4</v>
      </c>
      <c r="G7" s="80">
        <v>11667049.42</v>
      </c>
      <c r="H7" s="213">
        <v>20748701.670000002</v>
      </c>
      <c r="I7" s="79">
        <v>16438119.710000001</v>
      </c>
      <c r="J7" s="213">
        <v>11073517.9</v>
      </c>
      <c r="K7" s="80">
        <v>6275937.54</v>
      </c>
      <c r="L7" s="213">
        <v>16286083.6</v>
      </c>
      <c r="M7" s="79">
        <v>11954336.42</v>
      </c>
      <c r="N7" s="213">
        <v>8729948.7300000004</v>
      </c>
      <c r="O7" s="80">
        <v>6117317.2999999998</v>
      </c>
      <c r="P7" s="213">
        <v>14935815.16</v>
      </c>
      <c r="Q7" s="79">
        <v>8961738.7400000002</v>
      </c>
      <c r="R7" s="213">
        <v>6255876.79</v>
      </c>
      <c r="S7" s="80">
        <v>3895475.14</v>
      </c>
      <c r="T7" s="213">
        <v>8703969.9299999997</v>
      </c>
      <c r="U7" s="79">
        <v>6725043.2599999998</v>
      </c>
      <c r="V7" s="213">
        <v>6023227.21</v>
      </c>
      <c r="W7" s="80">
        <v>4317584.57</v>
      </c>
      <c r="X7" s="213">
        <v>13439441.15</v>
      </c>
      <c r="Y7" s="79">
        <v>9492279.4000000004</v>
      </c>
      <c r="Z7" s="213">
        <v>8167777.96</v>
      </c>
      <c r="AA7" s="80">
        <v>5456447.8799999999</v>
      </c>
      <c r="AB7" s="213">
        <v>12447199.98</v>
      </c>
      <c r="AC7" s="79">
        <v>10404221.51</v>
      </c>
      <c r="AD7" s="213">
        <v>8320784.2800000003</v>
      </c>
      <c r="AE7" s="80">
        <v>5749676.29</v>
      </c>
      <c r="AF7" s="213">
        <v>13798575.660000002</v>
      </c>
      <c r="AG7" s="79">
        <v>10981048.350000001</v>
      </c>
      <c r="AH7" s="213">
        <v>9416720.2999999989</v>
      </c>
      <c r="AI7" s="80">
        <v>5988537.9600000009</v>
      </c>
      <c r="AJ7" s="213">
        <v>9648568.5900000017</v>
      </c>
      <c r="AK7" s="79">
        <v>7294201.7599999988</v>
      </c>
      <c r="AL7" s="213">
        <v>9107409.8200000003</v>
      </c>
      <c r="AM7" s="80">
        <v>5303475.01</v>
      </c>
      <c r="AN7" s="213">
        <v>17916240.100000001</v>
      </c>
      <c r="AO7" s="79">
        <v>11453080.289999999</v>
      </c>
      <c r="AP7" s="213">
        <v>11255106.35</v>
      </c>
      <c r="AQ7" s="80">
        <v>5453653.1799999997</v>
      </c>
      <c r="AR7" s="78">
        <v>14359979.119999999</v>
      </c>
      <c r="AS7" s="79">
        <v>11519910.429999998</v>
      </c>
      <c r="AT7" s="78">
        <v>10060005.770000001</v>
      </c>
      <c r="AU7" s="80">
        <v>6008348.9700000016</v>
      </c>
      <c r="AV7" s="78">
        <v>21647811.460000001</v>
      </c>
      <c r="AW7" s="79">
        <v>13517426.16</v>
      </c>
      <c r="AX7" s="78">
        <v>11546466.68</v>
      </c>
      <c r="AY7" s="80">
        <v>6950021.9799999995</v>
      </c>
      <c r="AZ7" s="78">
        <v>20731597</v>
      </c>
      <c r="BA7" s="79">
        <v>15687000</v>
      </c>
      <c r="BB7" s="78">
        <v>14026000</v>
      </c>
      <c r="BC7" s="79">
        <v>9023000</v>
      </c>
      <c r="BD7" s="129"/>
    </row>
    <row r="8" spans="1:56" ht="27.9" customHeight="1">
      <c r="A8" s="145" t="s">
        <v>109</v>
      </c>
      <c r="B8" s="214">
        <f t="shared" ref="B8" si="0">SUM(B6:B7)</f>
        <v>92119439.710000008</v>
      </c>
      <c r="C8" s="83">
        <f t="shared" ref="C8" si="1">SUM(C6:C7)</f>
        <v>40544591.399999999</v>
      </c>
      <c r="D8" s="214">
        <f t="shared" ref="D8" si="2">SUM(D6:D7)</f>
        <v>198394313.44</v>
      </c>
      <c r="E8" s="82">
        <f t="shared" ref="E8" si="3">SUM(E6:E7)</f>
        <v>145945676.50999999</v>
      </c>
      <c r="F8" s="214">
        <f t="shared" ref="F8" si="4">SUM(F6:F7)</f>
        <v>73247904.769999996</v>
      </c>
      <c r="G8" s="83">
        <f t="shared" ref="G8" si="5">SUM(G6:G7)</f>
        <v>41557488.829999998</v>
      </c>
      <c r="H8" s="214">
        <f t="shared" ref="H8" si="6">SUM(H6:H7)</f>
        <v>118464607.61</v>
      </c>
      <c r="I8" s="82">
        <f t="shared" ref="I8" si="7">SUM(I6:I7)</f>
        <v>83966413.219999999</v>
      </c>
      <c r="J8" s="214">
        <f t="shared" ref="J8" si="8">SUM(J6:J7)</f>
        <v>50362146.479999997</v>
      </c>
      <c r="K8" s="83">
        <f t="shared" ref="K8" si="9">SUM(K6:K7)</f>
        <v>24277730.629999999</v>
      </c>
      <c r="L8" s="214">
        <f t="shared" ref="L8" si="10">SUM(L6:L7)</f>
        <v>140011101.00999999</v>
      </c>
      <c r="M8" s="82">
        <f t="shared" ref="M8" si="11">SUM(M6:M7)</f>
        <v>109871031.2</v>
      </c>
      <c r="N8" s="214">
        <f t="shared" ref="N8" si="12">SUM(N6:N7)</f>
        <v>75123364.620000005</v>
      </c>
      <c r="O8" s="83">
        <f t="shared" ref="O8" si="13">SUM(O6:O7)</f>
        <v>39327268.530000001</v>
      </c>
      <c r="P8" s="214">
        <f t="shared" ref="P8" si="14">SUM(P6:P7)</f>
        <v>138768563.28999999</v>
      </c>
      <c r="Q8" s="82">
        <f t="shared" ref="Q8" si="15">SUM(Q6:Q7)</f>
        <v>107194357.09999999</v>
      </c>
      <c r="R8" s="214">
        <f t="shared" ref="R8" si="16">SUM(R6:R7)</f>
        <v>71386239.560000002</v>
      </c>
      <c r="S8" s="83">
        <f t="shared" ref="S8" si="17">SUM(S6:S7)</f>
        <v>38161934.350000001</v>
      </c>
      <c r="T8" s="214">
        <f t="shared" ref="T8" si="18">SUM(T6:T7)</f>
        <v>121944559.81</v>
      </c>
      <c r="U8" s="82">
        <f t="shared" ref="U8" si="19">SUM(U6:U7)</f>
        <v>99862253.310000002</v>
      </c>
      <c r="V8" s="214">
        <f t="shared" ref="V8" si="20">SUM(V6:V7)</f>
        <v>71455153.799999997</v>
      </c>
      <c r="W8" s="83">
        <f t="shared" ref="W8" si="21">SUM(W6:W7)</f>
        <v>43335082.68</v>
      </c>
      <c r="X8" s="214">
        <f t="shared" ref="X8" si="22">SUM(X6:X7)</f>
        <v>123193620.38000001</v>
      </c>
      <c r="Y8" s="82">
        <f t="shared" ref="Y8" si="23">SUM(Y6:Y7)</f>
        <v>84504381.460000008</v>
      </c>
      <c r="Z8" s="214">
        <f t="shared" ref="Z8:AE8" si="24">SUM(Z6:Z7)</f>
        <v>58720743.32</v>
      </c>
      <c r="AA8" s="83">
        <f t="shared" si="24"/>
        <v>27840850.949999999</v>
      </c>
      <c r="AB8" s="214">
        <f t="shared" si="24"/>
        <v>103292500.87</v>
      </c>
      <c r="AC8" s="218">
        <f t="shared" si="24"/>
        <v>83727166.600000009</v>
      </c>
      <c r="AD8" s="214">
        <f t="shared" si="24"/>
        <v>61971535.5</v>
      </c>
      <c r="AE8" s="83">
        <f t="shared" si="24"/>
        <v>37556397.140000001</v>
      </c>
      <c r="AF8" s="214">
        <f>AF6+AF7</f>
        <v>111950291.14999999</v>
      </c>
      <c r="AG8" s="82">
        <f>SUM(AG6:AG7)</f>
        <v>88250318.439999998</v>
      </c>
      <c r="AH8" s="214">
        <f>AH6+AH7</f>
        <v>55733476.790000007</v>
      </c>
      <c r="AI8" s="83">
        <f>SUM(AI6:AI7)</f>
        <v>28839507.950000003</v>
      </c>
      <c r="AJ8" s="214">
        <f>AJ6+AJ7</f>
        <v>132163692.44</v>
      </c>
      <c r="AK8" s="82">
        <f>SUM(AK6:AK7)</f>
        <v>84857785.140000001</v>
      </c>
      <c r="AL8" s="214">
        <f>AL6+AL7</f>
        <v>63073250.090000004</v>
      </c>
      <c r="AM8" s="83">
        <f>SUM(AM6:AM7)</f>
        <v>31371276.350000001</v>
      </c>
      <c r="AN8" s="214">
        <f>AN6+AN7</f>
        <v>115977025.21000001</v>
      </c>
      <c r="AO8" s="82">
        <f>SUM(AO6:AO7)</f>
        <v>86977395.780000001</v>
      </c>
      <c r="AP8" s="214">
        <f>AP6+AP7</f>
        <v>63710009.579999998</v>
      </c>
      <c r="AQ8" s="83">
        <v>31422637.829999998</v>
      </c>
      <c r="AR8" s="81">
        <v>115636376.16</v>
      </c>
      <c r="AS8" s="82">
        <v>95589092.790000007</v>
      </c>
      <c r="AT8" s="81">
        <v>67116474.719999999</v>
      </c>
      <c r="AU8" s="83">
        <v>31312762.740000002</v>
      </c>
      <c r="AV8" s="81">
        <v>106756393.62</v>
      </c>
      <c r="AW8" s="82">
        <v>84405314.560000002</v>
      </c>
      <c r="AX8" s="81">
        <v>60273411.859999999</v>
      </c>
      <c r="AY8" s="83">
        <v>29228331.269999996</v>
      </c>
      <c r="AZ8" s="81">
        <v>95027606.840000004</v>
      </c>
      <c r="BA8" s="82">
        <v>74174000</v>
      </c>
      <c r="BB8" s="81">
        <v>53584000</v>
      </c>
      <c r="BC8" s="82">
        <v>28084000</v>
      </c>
      <c r="BD8" s="129"/>
    </row>
    <row r="9" spans="1:56" ht="27.9" customHeight="1">
      <c r="A9" s="144"/>
      <c r="B9" s="213"/>
      <c r="C9" s="80"/>
      <c r="D9" s="213"/>
      <c r="E9" s="79"/>
      <c r="F9" s="213"/>
      <c r="G9" s="80"/>
      <c r="H9" s="213"/>
      <c r="I9" s="79"/>
      <c r="J9" s="213"/>
      <c r="K9" s="80"/>
      <c r="L9" s="213"/>
      <c r="M9" s="79"/>
      <c r="N9" s="213"/>
      <c r="O9" s="80"/>
      <c r="P9" s="213"/>
      <c r="Q9" s="79"/>
      <c r="R9" s="213"/>
      <c r="S9" s="80"/>
      <c r="T9" s="213"/>
      <c r="U9" s="79"/>
      <c r="V9" s="213"/>
      <c r="W9" s="80"/>
      <c r="X9" s="213"/>
      <c r="Y9" s="79"/>
      <c r="Z9" s="213"/>
      <c r="AA9" s="80"/>
      <c r="AB9" s="213"/>
      <c r="AC9" s="79"/>
      <c r="AD9" s="213"/>
      <c r="AE9" s="80"/>
      <c r="AF9" s="213"/>
      <c r="AG9" s="79"/>
      <c r="AH9" s="213"/>
      <c r="AI9" s="80"/>
      <c r="AJ9" s="213"/>
      <c r="AK9" s="79"/>
      <c r="AL9" s="213"/>
      <c r="AM9" s="80"/>
      <c r="AN9" s="213"/>
      <c r="AO9" s="79"/>
      <c r="AP9" s="213"/>
      <c r="AQ9" s="80"/>
      <c r="AR9" s="78"/>
      <c r="AS9" s="79"/>
      <c r="AT9" s="78"/>
      <c r="AU9" s="80"/>
      <c r="AV9" s="78"/>
      <c r="AW9" s="79"/>
      <c r="AX9" s="78"/>
      <c r="AY9" s="80"/>
      <c r="AZ9" s="78"/>
      <c r="BA9" s="79"/>
      <c r="BB9" s="78"/>
      <c r="BC9" s="79"/>
      <c r="BD9" s="129"/>
    </row>
    <row r="10" spans="1:56" ht="27.9" customHeight="1">
      <c r="A10" s="145" t="s">
        <v>110</v>
      </c>
      <c r="B10" s="214">
        <v>72001896.430000007</v>
      </c>
      <c r="C10" s="83">
        <v>37512316.740000002</v>
      </c>
      <c r="D10" s="214">
        <v>141501449.06</v>
      </c>
      <c r="E10" s="82">
        <v>100806012.33</v>
      </c>
      <c r="F10" s="214">
        <v>61950225.579999998</v>
      </c>
      <c r="G10" s="83">
        <v>34014413.980000004</v>
      </c>
      <c r="H10" s="214">
        <v>111347485.09</v>
      </c>
      <c r="I10" s="82">
        <v>84860254.469999999</v>
      </c>
      <c r="J10" s="214">
        <v>58049564.729999997</v>
      </c>
      <c r="K10" s="83">
        <v>30154864.479999997</v>
      </c>
      <c r="L10" s="214">
        <v>132043679.58</v>
      </c>
      <c r="M10" s="82">
        <v>99475679.780000001</v>
      </c>
      <c r="N10" s="214">
        <v>67226829.730000004</v>
      </c>
      <c r="O10" s="83">
        <v>35759152.560000002</v>
      </c>
      <c r="P10" s="214">
        <v>118373065.28999999</v>
      </c>
      <c r="Q10" s="82">
        <v>86890694.200000003</v>
      </c>
      <c r="R10" s="214">
        <v>56828102.75</v>
      </c>
      <c r="S10" s="83">
        <v>29399544.079999998</v>
      </c>
      <c r="T10" s="214">
        <v>98512215.74000001</v>
      </c>
      <c r="U10" s="82">
        <v>75185376.809999987</v>
      </c>
      <c r="V10" s="214">
        <v>51351831.009999998</v>
      </c>
      <c r="W10" s="83">
        <v>32063589.390000001</v>
      </c>
      <c r="X10" s="214">
        <v>109097221.75999999</v>
      </c>
      <c r="Y10" s="82">
        <v>78085988.699999988</v>
      </c>
      <c r="Z10" s="214">
        <v>55758053.909999996</v>
      </c>
      <c r="AA10" s="83">
        <v>28593832.390000001</v>
      </c>
      <c r="AB10" s="214">
        <v>100347309.67</v>
      </c>
      <c r="AC10" s="82">
        <v>77826712.150000006</v>
      </c>
      <c r="AD10" s="214">
        <v>54730132.840000004</v>
      </c>
      <c r="AE10" s="83">
        <v>30003093.095160171</v>
      </c>
      <c r="AF10" s="214">
        <v>101490433.40515369</v>
      </c>
      <c r="AG10" s="82">
        <v>80660761.43831183</v>
      </c>
      <c r="AH10" s="214">
        <v>53102382.102694146</v>
      </c>
      <c r="AI10" s="83">
        <v>26878386.000856485</v>
      </c>
      <c r="AJ10" s="214">
        <v>120035827.47682172</v>
      </c>
      <c r="AK10" s="82">
        <v>85489984.424911901</v>
      </c>
      <c r="AL10" s="214">
        <v>62529790.579999998</v>
      </c>
      <c r="AM10" s="83">
        <v>32192236.940000001</v>
      </c>
      <c r="AN10" s="214">
        <v>121163301.81999999</v>
      </c>
      <c r="AO10" s="82">
        <v>90357417.110000014</v>
      </c>
      <c r="AP10" s="214">
        <v>64759467.230000004</v>
      </c>
      <c r="AQ10" s="83">
        <v>31742626.140000001</v>
      </c>
      <c r="AR10" s="81">
        <v>111814842.56</v>
      </c>
      <c r="AS10" s="82">
        <v>89423382.051766559</v>
      </c>
      <c r="AT10" s="81">
        <v>63226328.044610098</v>
      </c>
      <c r="AU10" s="83">
        <v>30490476.25</v>
      </c>
      <c r="AV10" s="81">
        <v>102661295.12</v>
      </c>
      <c r="AW10" s="82">
        <v>78221653.46890673</v>
      </c>
      <c r="AX10" s="81">
        <v>56598955.351821497</v>
      </c>
      <c r="AY10" s="83">
        <v>26031088.761716384</v>
      </c>
      <c r="AZ10" s="81">
        <v>93478621.13922888</v>
      </c>
      <c r="BA10" s="82">
        <v>72384907.379999995</v>
      </c>
      <c r="BB10" s="81">
        <v>52000000</v>
      </c>
      <c r="BC10" s="82">
        <v>27140840.760000002</v>
      </c>
      <c r="BD10" s="129"/>
    </row>
    <row r="11" spans="1:56" ht="27.9" customHeight="1">
      <c r="A11" s="144"/>
      <c r="B11" s="213"/>
      <c r="C11" s="80"/>
      <c r="D11" s="213"/>
      <c r="E11" s="79"/>
      <c r="F11" s="213"/>
      <c r="G11" s="80"/>
      <c r="H11" s="213"/>
      <c r="I11" s="79"/>
      <c r="J11" s="213"/>
      <c r="K11" s="80"/>
      <c r="L11" s="213"/>
      <c r="M11" s="79"/>
      <c r="N11" s="213"/>
      <c r="O11" s="80"/>
      <c r="P11" s="213"/>
      <c r="Q11" s="79"/>
      <c r="R11" s="213"/>
      <c r="S11" s="80"/>
      <c r="T11" s="213"/>
      <c r="U11" s="79"/>
      <c r="V11" s="213"/>
      <c r="W11" s="80"/>
      <c r="X11" s="213"/>
      <c r="Y11" s="79"/>
      <c r="Z11" s="213"/>
      <c r="AA11" s="80"/>
      <c r="AB11" s="213"/>
      <c r="AC11" s="79"/>
      <c r="AD11" s="213"/>
      <c r="AE11" s="80"/>
      <c r="AF11" s="213"/>
      <c r="AG11" s="79"/>
      <c r="AH11" s="213"/>
      <c r="AI11" s="80"/>
      <c r="AJ11" s="213"/>
      <c r="AK11" s="79"/>
      <c r="AL11" s="213"/>
      <c r="AM11" s="80"/>
      <c r="AN11" s="213"/>
      <c r="AO11" s="79"/>
      <c r="AP11" s="213"/>
      <c r="AQ11" s="80"/>
      <c r="AR11" s="78"/>
      <c r="AS11" s="79"/>
      <c r="AT11" s="78"/>
      <c r="AU11" s="80"/>
      <c r="AV11" s="78"/>
      <c r="AW11" s="79"/>
      <c r="AX11" s="78"/>
      <c r="AY11" s="80"/>
      <c r="AZ11" s="78"/>
      <c r="BA11" s="79"/>
      <c r="BB11" s="78"/>
      <c r="BC11" s="79"/>
      <c r="BD11" s="129"/>
    </row>
    <row r="12" spans="1:56" ht="27.9" customHeight="1">
      <c r="A12" s="145" t="s">
        <v>111</v>
      </c>
      <c r="B12" s="214">
        <f>B8-B10</f>
        <v>20117543.280000001</v>
      </c>
      <c r="C12" s="83">
        <f t="shared" ref="C12" si="25">C8-C10</f>
        <v>3032274.6599999964</v>
      </c>
      <c r="D12" s="214">
        <f t="shared" ref="D12:AP12" si="26">D8-D10</f>
        <v>56892864.379999995</v>
      </c>
      <c r="E12" s="82">
        <f t="shared" si="26"/>
        <v>45139664.179999992</v>
      </c>
      <c r="F12" s="214">
        <f t="shared" si="26"/>
        <v>11297679.189999998</v>
      </c>
      <c r="G12" s="83">
        <f t="shared" si="26"/>
        <v>7543074.849999994</v>
      </c>
      <c r="H12" s="214">
        <f t="shared" si="26"/>
        <v>7117122.5199999958</v>
      </c>
      <c r="I12" s="82">
        <f t="shared" si="26"/>
        <v>-893841.25</v>
      </c>
      <c r="J12" s="214">
        <f t="shared" si="26"/>
        <v>-7687418.25</v>
      </c>
      <c r="K12" s="83">
        <f t="shared" si="26"/>
        <v>-5877133.8499999978</v>
      </c>
      <c r="L12" s="214">
        <f t="shared" si="26"/>
        <v>7967421.4299999923</v>
      </c>
      <c r="M12" s="82">
        <f t="shared" si="26"/>
        <v>10395351.420000002</v>
      </c>
      <c r="N12" s="214">
        <f t="shared" si="26"/>
        <v>7896534.8900000006</v>
      </c>
      <c r="O12" s="83">
        <f t="shared" si="26"/>
        <v>3568115.9699999988</v>
      </c>
      <c r="P12" s="214">
        <f t="shared" si="26"/>
        <v>20395498</v>
      </c>
      <c r="Q12" s="82">
        <f t="shared" si="26"/>
        <v>20303662.899999991</v>
      </c>
      <c r="R12" s="214">
        <f t="shared" si="26"/>
        <v>14558136.810000002</v>
      </c>
      <c r="S12" s="83">
        <f t="shared" si="26"/>
        <v>8762390.2700000033</v>
      </c>
      <c r="T12" s="214">
        <f t="shared" si="26"/>
        <v>23432344.069999993</v>
      </c>
      <c r="U12" s="82">
        <f t="shared" si="26"/>
        <v>24676876.500000015</v>
      </c>
      <c r="V12" s="214">
        <f t="shared" si="26"/>
        <v>20103322.789999999</v>
      </c>
      <c r="W12" s="83">
        <f t="shared" si="26"/>
        <v>11271493.289999999</v>
      </c>
      <c r="X12" s="214">
        <f t="shared" si="26"/>
        <v>14096398.62000002</v>
      </c>
      <c r="Y12" s="82">
        <f t="shared" si="26"/>
        <v>6418392.7600000203</v>
      </c>
      <c r="Z12" s="214">
        <f t="shared" si="26"/>
        <v>2962689.4100000039</v>
      </c>
      <c r="AA12" s="83">
        <f t="shared" si="26"/>
        <v>-752981.44000000134</v>
      </c>
      <c r="AB12" s="214">
        <f t="shared" si="26"/>
        <v>2945191.200000003</v>
      </c>
      <c r="AC12" s="218">
        <f t="shared" si="26"/>
        <v>5900454.450000003</v>
      </c>
      <c r="AD12" s="214">
        <f t="shared" si="26"/>
        <v>7241402.6599999964</v>
      </c>
      <c r="AE12" s="83">
        <f t="shared" si="26"/>
        <v>7553304.0448398292</v>
      </c>
      <c r="AF12" s="214">
        <f t="shared" si="26"/>
        <v>10459857.744846299</v>
      </c>
      <c r="AG12" s="82">
        <f t="shared" si="26"/>
        <v>7589557.0016881675</v>
      </c>
      <c r="AH12" s="214">
        <f t="shared" si="26"/>
        <v>2631094.6873058602</v>
      </c>
      <c r="AI12" s="83">
        <f t="shared" si="26"/>
        <v>1961121.9491435178</v>
      </c>
      <c r="AJ12" s="214">
        <f t="shared" si="26"/>
        <v>12127864.963178277</v>
      </c>
      <c r="AK12" s="82">
        <f t="shared" si="26"/>
        <v>-632199.28491190076</v>
      </c>
      <c r="AL12" s="214">
        <f t="shared" si="26"/>
        <v>543459.51000000536</v>
      </c>
      <c r="AM12" s="83">
        <f t="shared" si="26"/>
        <v>-820960.58999999985</v>
      </c>
      <c r="AN12" s="214">
        <f t="shared" si="26"/>
        <v>-5186276.6099999845</v>
      </c>
      <c r="AO12" s="82">
        <f t="shared" si="26"/>
        <v>-3380021.3300000131</v>
      </c>
      <c r="AP12" s="214">
        <f t="shared" si="26"/>
        <v>-1049457.650000006</v>
      </c>
      <c r="AQ12" s="83">
        <v>-319988.31</v>
      </c>
      <c r="AR12" s="81">
        <v>3821533.6</v>
      </c>
      <c r="AS12" s="82">
        <v>6165710.7382334471</v>
      </c>
      <c r="AT12" s="81">
        <v>3890146.6753899008</v>
      </c>
      <c r="AU12" s="83">
        <v>822286.49</v>
      </c>
      <c r="AV12" s="81">
        <v>4095098.5</v>
      </c>
      <c r="AW12" s="82">
        <v>6183661.091093272</v>
      </c>
      <c r="AX12" s="81">
        <v>3674456.5081785023</v>
      </c>
      <c r="AY12" s="83">
        <v>3197242.5082836114</v>
      </c>
      <c r="AZ12" s="81">
        <v>1548985.7007711232</v>
      </c>
      <c r="BA12" s="82">
        <v>1789092.6200000048</v>
      </c>
      <c r="BB12" s="81">
        <v>1584000</v>
      </c>
      <c r="BC12" s="82">
        <v>943159.23999999836</v>
      </c>
      <c r="BD12" s="129"/>
    </row>
    <row r="13" spans="1:56" ht="27.9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229"/>
      <c r="AD13" s="5"/>
      <c r="AE13" s="212"/>
      <c r="AF13" s="115"/>
      <c r="AG13" s="114"/>
      <c r="AH13" s="115"/>
      <c r="AI13" s="115"/>
      <c r="AJ13" s="115"/>
      <c r="AK13" s="114"/>
      <c r="AL13" s="5"/>
      <c r="AM13" s="5"/>
      <c r="AN13" s="5"/>
      <c r="AO13" s="5"/>
      <c r="AP13" s="5"/>
      <c r="AQ13" s="5"/>
      <c r="AR13" s="5"/>
    </row>
    <row r="14" spans="1:56" ht="27.9" customHeight="1">
      <c r="A14" s="5"/>
      <c r="B14" s="5"/>
      <c r="C14" s="473"/>
      <c r="D14" s="473"/>
      <c r="E14" s="5"/>
      <c r="F14" s="5"/>
      <c r="G14" s="473"/>
      <c r="H14" s="473"/>
      <c r="I14" s="5"/>
      <c r="J14" s="5"/>
      <c r="K14" s="473"/>
      <c r="L14" s="473"/>
      <c r="M14" s="5"/>
      <c r="N14" s="5"/>
      <c r="O14" s="473"/>
      <c r="P14" s="473"/>
      <c r="Q14" s="5"/>
      <c r="R14" s="5"/>
      <c r="S14" s="473"/>
      <c r="T14" s="473"/>
      <c r="U14" s="5"/>
      <c r="V14" s="5"/>
      <c r="W14" s="473"/>
      <c r="X14" s="473"/>
      <c r="Y14" s="5"/>
      <c r="Z14" s="5"/>
      <c r="AA14" s="229"/>
      <c r="AB14" s="5"/>
      <c r="AC14" s="212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56" ht="27.9" customHeight="1">
      <c r="A15" s="370" t="s">
        <v>149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532" t="s">
        <v>143</v>
      </c>
      <c r="X15" s="532"/>
      <c r="Y15" s="532"/>
      <c r="Z15" s="532"/>
      <c r="AA15" s="532"/>
      <c r="AB15" s="532"/>
      <c r="AC15" s="532"/>
      <c r="AD15" s="532"/>
      <c r="AE15" s="532"/>
      <c r="AF15" s="532"/>
      <c r="AG15" s="532"/>
      <c r="AH15" s="532"/>
      <c r="AI15" s="532"/>
      <c r="AJ15" s="532"/>
      <c r="AK15" s="532"/>
      <c r="AL15" s="532"/>
      <c r="AM15" s="532"/>
      <c r="AN15" s="532"/>
      <c r="AO15" s="532"/>
      <c r="AP15" s="532"/>
      <c r="AQ15" s="532"/>
      <c r="AR15" s="532"/>
    </row>
    <row r="16" spans="1:56" ht="20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229"/>
      <c r="AC16" s="5"/>
      <c r="AD16" s="212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56" ht="27.9" customHeight="1">
      <c r="A17" s="359"/>
      <c r="B17" s="230" t="s">
        <v>287</v>
      </c>
      <c r="C17" s="360" t="str">
        <f>C5</f>
        <v>IQ 25</v>
      </c>
      <c r="D17" s="230" t="str">
        <f>D5</f>
        <v>I-IVQ 24</v>
      </c>
      <c r="E17" s="361" t="s">
        <v>280</v>
      </c>
      <c r="F17" s="230" t="s">
        <v>276</v>
      </c>
      <c r="G17" s="360" t="str">
        <f>G5</f>
        <v>IQ 24</v>
      </c>
      <c r="H17" s="230" t="str">
        <f>H5</f>
        <v>I-IVQ 23</v>
      </c>
      <c r="I17" s="361" t="s">
        <v>270</v>
      </c>
      <c r="J17" s="230" t="s">
        <v>266</v>
      </c>
      <c r="K17" s="360" t="str">
        <f>K5</f>
        <v>IQ 23</v>
      </c>
      <c r="L17" s="230" t="s">
        <v>256</v>
      </c>
      <c r="M17" s="361" t="s">
        <v>254</v>
      </c>
      <c r="N17" s="230" t="s">
        <v>249</v>
      </c>
      <c r="O17" s="360" t="str">
        <f>O5</f>
        <v>IQ 22</v>
      </c>
      <c r="P17" s="230" t="s">
        <v>245</v>
      </c>
      <c r="Q17" s="361" t="s">
        <v>243</v>
      </c>
      <c r="R17" s="230" t="s">
        <v>239</v>
      </c>
      <c r="S17" s="360" t="str">
        <f>S5</f>
        <v>IQ21</v>
      </c>
      <c r="T17" s="230" t="s">
        <v>235</v>
      </c>
      <c r="U17" s="361" t="s">
        <v>231</v>
      </c>
      <c r="V17" s="230" t="s">
        <v>227</v>
      </c>
      <c r="W17" s="360" t="s">
        <v>226</v>
      </c>
      <c r="X17" s="230" t="s">
        <v>220</v>
      </c>
      <c r="Y17" s="361" t="s">
        <v>218</v>
      </c>
      <c r="Z17" s="230" t="s">
        <v>214</v>
      </c>
      <c r="AA17" s="360" t="s">
        <v>213</v>
      </c>
      <c r="AB17" s="230" t="s">
        <v>208</v>
      </c>
      <c r="AC17" s="361" t="s">
        <v>206</v>
      </c>
      <c r="AD17" s="230" t="s">
        <v>203</v>
      </c>
      <c r="AE17" s="360" t="s">
        <v>205</v>
      </c>
      <c r="AF17" s="230" t="s">
        <v>201</v>
      </c>
      <c r="AG17" s="361" t="s">
        <v>198</v>
      </c>
      <c r="AH17" s="230" t="s">
        <v>192</v>
      </c>
      <c r="AI17" s="360" t="s">
        <v>191</v>
      </c>
      <c r="AJ17" s="230" t="s">
        <v>196</v>
      </c>
      <c r="AK17" s="361" t="s">
        <v>187</v>
      </c>
      <c r="AL17" s="230" t="s">
        <v>185</v>
      </c>
      <c r="AM17" s="360" t="s">
        <v>184</v>
      </c>
      <c r="AN17" s="230" t="s">
        <v>181</v>
      </c>
      <c r="AO17" s="361" t="s">
        <v>179</v>
      </c>
      <c r="AP17" s="230" t="s">
        <v>175</v>
      </c>
      <c r="AQ17" s="360" t="s">
        <v>156</v>
      </c>
      <c r="AR17" s="362" t="s">
        <v>114</v>
      </c>
      <c r="AS17" s="361" t="s">
        <v>14</v>
      </c>
      <c r="AT17" s="363" t="s">
        <v>15</v>
      </c>
      <c r="AU17" s="360" t="s">
        <v>16</v>
      </c>
      <c r="AV17" s="363" t="s">
        <v>17</v>
      </c>
      <c r="AW17" s="361" t="s">
        <v>18</v>
      </c>
      <c r="AX17" s="363" t="s">
        <v>19</v>
      </c>
      <c r="AY17" s="360" t="s">
        <v>20</v>
      </c>
      <c r="AZ17" s="363" t="s">
        <v>21</v>
      </c>
      <c r="BA17" s="361" t="s">
        <v>22</v>
      </c>
      <c r="BB17" s="363" t="s">
        <v>23</v>
      </c>
      <c r="BC17" s="361" t="s">
        <v>24</v>
      </c>
    </row>
    <row r="18" spans="1:56" ht="27.9" customHeight="1">
      <c r="A18" s="364" t="s">
        <v>112</v>
      </c>
      <c r="B18" s="365">
        <v>95606872.010000005</v>
      </c>
      <c r="C18" s="366">
        <v>52853495.829999998</v>
      </c>
      <c r="D18" s="365">
        <v>130680431.8</v>
      </c>
      <c r="E18" s="367">
        <v>112414540.65000001</v>
      </c>
      <c r="F18" s="365">
        <v>94839237.650000006</v>
      </c>
      <c r="G18" s="366">
        <v>48957210.939999998</v>
      </c>
      <c r="H18" s="365">
        <v>120831286.29000001</v>
      </c>
      <c r="I18" s="367">
        <v>103658509.11</v>
      </c>
      <c r="J18" s="365">
        <v>87063011.310000002</v>
      </c>
      <c r="K18" s="366">
        <v>46031957.770000003</v>
      </c>
      <c r="L18" s="365">
        <v>132219011.88</v>
      </c>
      <c r="M18" s="367">
        <v>116807316.02</v>
      </c>
      <c r="N18" s="365">
        <v>95277299.670000002</v>
      </c>
      <c r="O18" s="366">
        <v>48146218.079999998</v>
      </c>
      <c r="P18" s="365">
        <v>94611956.299999997</v>
      </c>
      <c r="Q18" s="367">
        <v>81142217.859999999</v>
      </c>
      <c r="R18" s="365">
        <v>61498711.840000004</v>
      </c>
      <c r="S18" s="366">
        <v>30143399.670000002</v>
      </c>
      <c r="T18" s="365">
        <v>79559289.900000006</v>
      </c>
      <c r="U18" s="367">
        <v>73566315.939999998</v>
      </c>
      <c r="V18" s="365">
        <v>63477267.420000002</v>
      </c>
      <c r="W18" s="366">
        <v>36617179.43</v>
      </c>
      <c r="X18" s="365">
        <v>90859304.189999998</v>
      </c>
      <c r="Y18" s="367">
        <v>75034414.939999998</v>
      </c>
      <c r="Z18" s="365">
        <v>62971438.32</v>
      </c>
      <c r="AA18" s="366">
        <v>29693720.879999999</v>
      </c>
      <c r="AB18" s="365">
        <v>85642506.599999994</v>
      </c>
      <c r="AC18" s="367">
        <v>74310017.620000005</v>
      </c>
      <c r="AD18" s="365">
        <v>65089077.350000001</v>
      </c>
      <c r="AE18" s="366">
        <v>33279017.469999999</v>
      </c>
      <c r="AF18" s="365">
        <v>84394028.049999997</v>
      </c>
      <c r="AG18" s="367">
        <v>74742908.780000016</v>
      </c>
      <c r="AH18" s="365">
        <v>63420013.590000004</v>
      </c>
      <c r="AI18" s="366">
        <v>30832614.060000002</v>
      </c>
      <c r="AJ18" s="365">
        <v>81355883.63000001</v>
      </c>
      <c r="AK18" s="367">
        <v>73818457.079999998</v>
      </c>
      <c r="AL18" s="365">
        <v>63104683.689999998</v>
      </c>
      <c r="AM18" s="366">
        <v>34505661.890000001</v>
      </c>
      <c r="AN18" s="365">
        <v>85444161.340000004</v>
      </c>
      <c r="AO18" s="367">
        <v>79324615.650000006</v>
      </c>
      <c r="AP18" s="365">
        <v>68841369.859999999</v>
      </c>
      <c r="AQ18" s="366">
        <v>34495191.420000002</v>
      </c>
      <c r="AR18" s="369">
        <v>87863222.150000006</v>
      </c>
      <c r="AS18" s="367">
        <v>81831422.280000016</v>
      </c>
      <c r="AT18" s="369">
        <v>73792204.850000009</v>
      </c>
      <c r="AU18" s="366">
        <v>40025644.910000004</v>
      </c>
      <c r="AV18" s="369">
        <v>84071828.719999999</v>
      </c>
      <c r="AW18" s="367">
        <v>75100473.999999985</v>
      </c>
      <c r="AX18" s="369">
        <v>66870153.159999996</v>
      </c>
      <c r="AY18" s="366">
        <v>30779497.77</v>
      </c>
      <c r="AZ18" s="369">
        <v>77497337.129999995</v>
      </c>
      <c r="BA18" s="367">
        <v>75094072.019999996</v>
      </c>
      <c r="BB18" s="369">
        <v>66584433.109999999</v>
      </c>
      <c r="BC18" s="367">
        <v>31245978.989999998</v>
      </c>
      <c r="BD18" s="20"/>
    </row>
    <row r="19" spans="1:56" ht="27.9" customHeight="1">
      <c r="A19" s="144" t="s">
        <v>108</v>
      </c>
      <c r="B19" s="213">
        <v>5498327.8600000003</v>
      </c>
      <c r="C19" s="80">
        <v>2893681.81</v>
      </c>
      <c r="D19" s="213">
        <v>21171538.02</v>
      </c>
      <c r="E19" s="79">
        <v>8672511.2699999996</v>
      </c>
      <c r="F19" s="213">
        <v>4255294.91</v>
      </c>
      <c r="G19" s="80">
        <v>2322593.37</v>
      </c>
      <c r="H19" s="213">
        <v>9318858.9499999993</v>
      </c>
      <c r="I19" s="79">
        <v>5021886.92</v>
      </c>
      <c r="J19" s="213">
        <v>3736149.81</v>
      </c>
      <c r="K19" s="80">
        <v>2299468.37</v>
      </c>
      <c r="L19" s="213">
        <v>14580180.98</v>
      </c>
      <c r="M19" s="79">
        <v>11874508.880000001</v>
      </c>
      <c r="N19" s="213">
        <v>8785985.1600000001</v>
      </c>
      <c r="O19" s="80">
        <v>3934818.41</v>
      </c>
      <c r="P19" s="213">
        <v>8803975</v>
      </c>
      <c r="Q19" s="79">
        <v>6864269.4800000004</v>
      </c>
      <c r="R19" s="213">
        <v>4795383</v>
      </c>
      <c r="S19" s="80">
        <v>3133134.21</v>
      </c>
      <c r="T19" s="213">
        <v>10378300.25</v>
      </c>
      <c r="U19" s="79">
        <v>7936455.0599999996</v>
      </c>
      <c r="V19" s="213">
        <v>6350888.0199999996</v>
      </c>
      <c r="W19" s="80">
        <v>3834228.81</v>
      </c>
      <c r="X19" s="213">
        <v>6588566.3600000003</v>
      </c>
      <c r="Y19" s="79">
        <v>3233272.81</v>
      </c>
      <c r="Z19" s="213">
        <v>2773049.31</v>
      </c>
      <c r="AA19" s="80">
        <v>1603025.32</v>
      </c>
      <c r="AB19" s="213">
        <v>3705059.23</v>
      </c>
      <c r="AC19" s="79">
        <v>2706162.99</v>
      </c>
      <c r="AD19" s="213">
        <v>2505004.65</v>
      </c>
      <c r="AE19" s="80">
        <v>1937686.96</v>
      </c>
      <c r="AF19" s="213">
        <v>17644204.760000002</v>
      </c>
      <c r="AG19" s="79">
        <v>15980973.98</v>
      </c>
      <c r="AH19" s="213">
        <v>13177931.52</v>
      </c>
      <c r="AI19" s="80">
        <v>7592989.6499999994</v>
      </c>
      <c r="AJ19" s="213">
        <v>16824884.439999998</v>
      </c>
      <c r="AK19" s="79">
        <v>10411509.27</v>
      </c>
      <c r="AL19" s="213">
        <v>9414316.0999999996</v>
      </c>
      <c r="AM19" s="80">
        <v>8066056.2699999996</v>
      </c>
      <c r="AN19" s="213">
        <v>16961218.760000002</v>
      </c>
      <c r="AO19" s="79">
        <v>10925337.859999999</v>
      </c>
      <c r="AP19" s="213">
        <v>10732493.25</v>
      </c>
      <c r="AQ19" s="80">
        <v>8526580.4499999993</v>
      </c>
      <c r="AR19" s="78">
        <v>19070683.199999999</v>
      </c>
      <c r="AS19" s="79">
        <v>12301947.779999999</v>
      </c>
      <c r="AT19" s="78">
        <v>10576604.75</v>
      </c>
      <c r="AU19" s="80">
        <v>7038287.6099999994</v>
      </c>
      <c r="AV19" s="78">
        <v>16793001.199999999</v>
      </c>
      <c r="AW19" s="79">
        <v>16377968.200000001</v>
      </c>
      <c r="AX19" s="78">
        <v>3985585.9400000004</v>
      </c>
      <c r="AY19" s="80">
        <v>7003451.9100000001</v>
      </c>
      <c r="AZ19" s="78">
        <v>22264109.140000001</v>
      </c>
      <c r="BA19" s="79">
        <v>13340000</v>
      </c>
      <c r="BB19" s="78">
        <v>13649000</v>
      </c>
      <c r="BC19" s="79">
        <v>7026000</v>
      </c>
      <c r="BD19" s="20"/>
    </row>
    <row r="20" spans="1:56" ht="27.9" customHeight="1">
      <c r="A20" s="145" t="s">
        <v>109</v>
      </c>
      <c r="B20" s="214">
        <f t="shared" ref="B20" si="27">SUM(B18:B19)</f>
        <v>101105199.87</v>
      </c>
      <c r="C20" s="83">
        <f t="shared" ref="C20" si="28">SUM(C18:C19)</f>
        <v>55747177.640000001</v>
      </c>
      <c r="D20" s="214">
        <f t="shared" ref="D20" si="29">SUM(D18:D19)</f>
        <v>151851969.81999999</v>
      </c>
      <c r="E20" s="82">
        <f t="shared" ref="E20" si="30">SUM(E18:E19)</f>
        <v>121087051.92</v>
      </c>
      <c r="F20" s="214">
        <f t="shared" ref="F20" si="31">SUM(F18:F19)</f>
        <v>99094532.560000002</v>
      </c>
      <c r="G20" s="83">
        <f t="shared" ref="G20" si="32">SUM(G18:G19)</f>
        <v>51279804.309999995</v>
      </c>
      <c r="H20" s="214">
        <f t="shared" ref="H20" si="33">SUM(H18:H19)</f>
        <v>130150145.24000001</v>
      </c>
      <c r="I20" s="82">
        <f t="shared" ref="I20" si="34">SUM(I18:I19)</f>
        <v>108680396.03</v>
      </c>
      <c r="J20" s="214">
        <f t="shared" ref="J20" si="35">SUM(J18:J19)</f>
        <v>90799161.120000005</v>
      </c>
      <c r="K20" s="83">
        <f t="shared" ref="K20" si="36">SUM(K18:K19)</f>
        <v>48331426.140000001</v>
      </c>
      <c r="L20" s="214">
        <f t="shared" ref="L20" si="37">SUM(L18:L19)</f>
        <v>146799192.85999998</v>
      </c>
      <c r="M20" s="82">
        <f t="shared" ref="M20" si="38">SUM(M18:M19)</f>
        <v>128681824.89999999</v>
      </c>
      <c r="N20" s="214">
        <f t="shared" ref="N20" si="39">SUM(N18:N19)</f>
        <v>104063284.83</v>
      </c>
      <c r="O20" s="83">
        <f t="shared" ref="O20" si="40">SUM(O18:O19)</f>
        <v>52081036.489999995</v>
      </c>
      <c r="P20" s="214">
        <f t="shared" ref="P20" si="41">SUM(P18:P19)</f>
        <v>103415931.3</v>
      </c>
      <c r="Q20" s="82">
        <f t="shared" ref="Q20" si="42">SUM(Q18:Q19)</f>
        <v>88006487.340000004</v>
      </c>
      <c r="R20" s="214">
        <f t="shared" ref="R20" si="43">SUM(R18:R19)</f>
        <v>66294094.840000004</v>
      </c>
      <c r="S20" s="83">
        <f t="shared" ref="S20" si="44">SUM(S18:S19)</f>
        <v>33276533.880000003</v>
      </c>
      <c r="T20" s="214">
        <f t="shared" ref="T20" si="45">SUM(T18:T19)</f>
        <v>89937590.150000006</v>
      </c>
      <c r="U20" s="82">
        <f t="shared" ref="U20" si="46">SUM(U18:U19)</f>
        <v>81502771</v>
      </c>
      <c r="V20" s="214">
        <f t="shared" ref="V20" si="47">SUM(V18:V19)</f>
        <v>69828155.439999998</v>
      </c>
      <c r="W20" s="83">
        <f t="shared" ref="W20" si="48">SUM(W18:W19)</f>
        <v>40451408.240000002</v>
      </c>
      <c r="X20" s="214">
        <f t="shared" ref="X20" si="49">SUM(X18:X19)</f>
        <v>97447870.549999997</v>
      </c>
      <c r="Y20" s="82">
        <f t="shared" ref="Y20" si="50">SUM(Y18:Y19)</f>
        <v>78267687.75</v>
      </c>
      <c r="Z20" s="214">
        <f t="shared" ref="Z20:AE20" si="51">SUM(Z18:Z19)</f>
        <v>65744487.630000003</v>
      </c>
      <c r="AA20" s="83">
        <f t="shared" si="51"/>
        <v>31296746.199999999</v>
      </c>
      <c r="AB20" s="214">
        <f t="shared" si="51"/>
        <v>89347565.829999998</v>
      </c>
      <c r="AC20" s="82">
        <f t="shared" si="51"/>
        <v>77016180.609999999</v>
      </c>
      <c r="AD20" s="214">
        <f t="shared" si="51"/>
        <v>67594082</v>
      </c>
      <c r="AE20" s="83">
        <f t="shared" si="51"/>
        <v>35216704.43</v>
      </c>
      <c r="AF20" s="214">
        <f>AF18+AF19</f>
        <v>102038232.81</v>
      </c>
      <c r="AG20" s="82">
        <f>SUM(AG18:AG19)</f>
        <v>90723882.76000002</v>
      </c>
      <c r="AH20" s="214">
        <f>AH18+AH19</f>
        <v>76597945.109999999</v>
      </c>
      <c r="AI20" s="83">
        <f>SUM(AI18:AI19)</f>
        <v>38425603.710000001</v>
      </c>
      <c r="AJ20" s="214">
        <f>AJ18+AJ19</f>
        <v>98180768.070000008</v>
      </c>
      <c r="AK20" s="82">
        <f>SUM(AK18:AK19)</f>
        <v>84229966.349999994</v>
      </c>
      <c r="AL20" s="214">
        <f>AL18+AL19</f>
        <v>72518999.789999992</v>
      </c>
      <c r="AM20" s="83">
        <f>SUM(AM18:AM19)</f>
        <v>42571718.159999996</v>
      </c>
      <c r="AN20" s="214">
        <f>AN18+AN19</f>
        <v>102405380.10000001</v>
      </c>
      <c r="AO20" s="82">
        <f>SUM(AO18:AO19)</f>
        <v>90249953.510000005</v>
      </c>
      <c r="AP20" s="214">
        <f>AP18+AP19</f>
        <v>79573863.109999999</v>
      </c>
      <c r="AQ20" s="83">
        <v>43021771.869999997</v>
      </c>
      <c r="AR20" s="81">
        <v>106933905.34999999</v>
      </c>
      <c r="AS20" s="82">
        <v>94133370.060000017</v>
      </c>
      <c r="AT20" s="81">
        <v>84368809.600000009</v>
      </c>
      <c r="AU20" s="83">
        <v>47063932.520000003</v>
      </c>
      <c r="AV20" s="81">
        <v>100864829.92</v>
      </c>
      <c r="AW20" s="82">
        <v>91478442.199999988</v>
      </c>
      <c r="AX20" s="81">
        <v>70855739.099999994</v>
      </c>
      <c r="AY20" s="83">
        <v>37782949.68</v>
      </c>
      <c r="AZ20" s="81">
        <v>99761446.269999996</v>
      </c>
      <c r="BA20" s="82">
        <v>88434072.019999996</v>
      </c>
      <c r="BB20" s="81">
        <v>80233433.109999999</v>
      </c>
      <c r="BC20" s="82">
        <v>38271978.989999995</v>
      </c>
      <c r="BD20" s="20"/>
    </row>
    <row r="21" spans="1:56" ht="27.9" customHeight="1">
      <c r="A21" s="144"/>
      <c r="B21" s="213"/>
      <c r="C21" s="80"/>
      <c r="D21" s="213"/>
      <c r="E21" s="79"/>
      <c r="F21" s="213"/>
      <c r="G21" s="80"/>
      <c r="H21" s="213"/>
      <c r="I21" s="79"/>
      <c r="J21" s="213"/>
      <c r="K21" s="80"/>
      <c r="L21" s="213"/>
      <c r="M21" s="79"/>
      <c r="N21" s="213"/>
      <c r="O21" s="80"/>
      <c r="P21" s="213"/>
      <c r="Q21" s="79"/>
      <c r="R21" s="213"/>
      <c r="S21" s="80"/>
      <c r="T21" s="213"/>
      <c r="U21" s="79"/>
      <c r="V21" s="213"/>
      <c r="W21" s="80"/>
      <c r="X21" s="213"/>
      <c r="Y21" s="79"/>
      <c r="Z21" s="213"/>
      <c r="AA21" s="80"/>
      <c r="AB21" s="213"/>
      <c r="AC21" s="79"/>
      <c r="AD21" s="213"/>
      <c r="AE21" s="80"/>
      <c r="AF21" s="213"/>
      <c r="AG21" s="79"/>
      <c r="AH21" s="213"/>
      <c r="AI21" s="80"/>
      <c r="AJ21" s="213"/>
      <c r="AK21" s="79"/>
      <c r="AL21" s="213"/>
      <c r="AM21" s="80"/>
      <c r="AN21" s="213"/>
      <c r="AO21" s="79"/>
      <c r="AP21" s="213"/>
      <c r="AQ21" s="80"/>
      <c r="AR21" s="78"/>
      <c r="AS21" s="79"/>
      <c r="AT21" s="78"/>
      <c r="AU21" s="80"/>
      <c r="AV21" s="78"/>
      <c r="AW21" s="79"/>
      <c r="AX21" s="78"/>
      <c r="AY21" s="80"/>
      <c r="AZ21" s="78"/>
      <c r="BA21" s="79"/>
      <c r="BB21" s="78"/>
      <c r="BC21" s="79"/>
      <c r="BD21" s="20"/>
    </row>
    <row r="22" spans="1:56" ht="27.9" customHeight="1">
      <c r="A22" s="145" t="s">
        <v>110</v>
      </c>
      <c r="B22" s="214">
        <v>88123610.950000003</v>
      </c>
      <c r="C22" s="83">
        <v>49756692.100000001</v>
      </c>
      <c r="D22" s="214">
        <v>140651828.53</v>
      </c>
      <c r="E22" s="82">
        <v>106239635.17999999</v>
      </c>
      <c r="F22" s="214">
        <v>83896548.900000006</v>
      </c>
      <c r="G22" s="83">
        <v>44344856.949999996</v>
      </c>
      <c r="H22" s="214">
        <v>117946038.44999999</v>
      </c>
      <c r="I22" s="82">
        <v>93902538.410000011</v>
      </c>
      <c r="J22" s="214">
        <v>75826371.109999999</v>
      </c>
      <c r="K22" s="83">
        <v>40315273.369999997</v>
      </c>
      <c r="L22" s="214">
        <v>127384547.15000001</v>
      </c>
      <c r="M22" s="82">
        <v>107061065.33</v>
      </c>
      <c r="N22" s="214">
        <v>84124296.429999992</v>
      </c>
      <c r="O22" s="83">
        <v>44049968.160000004</v>
      </c>
      <c r="P22" s="214">
        <v>92482980.670000002</v>
      </c>
      <c r="Q22" s="82">
        <v>75626583.649999991</v>
      </c>
      <c r="R22" s="214">
        <v>56193404.200000003</v>
      </c>
      <c r="S22" s="83">
        <v>29294253.439999998</v>
      </c>
      <c r="T22" s="214">
        <v>80445222.060000002</v>
      </c>
      <c r="U22" s="82">
        <v>69933833.879999995</v>
      </c>
      <c r="V22" s="214">
        <v>57914014.399999999</v>
      </c>
      <c r="W22" s="83">
        <v>34357040.789999999</v>
      </c>
      <c r="X22" s="214">
        <v>90416007.299999997</v>
      </c>
      <c r="Y22" s="82">
        <v>70118292.019999996</v>
      </c>
      <c r="Z22" s="214">
        <v>56630822.580000006</v>
      </c>
      <c r="AA22" s="83">
        <v>27132782.130000003</v>
      </c>
      <c r="AB22" s="214">
        <v>88401590.950000003</v>
      </c>
      <c r="AC22" s="82">
        <v>73763699.620000005</v>
      </c>
      <c r="AD22" s="214">
        <v>62714530.410000004</v>
      </c>
      <c r="AE22" s="83">
        <v>32242496.469999999</v>
      </c>
      <c r="AF22" s="214">
        <v>100434447.62378991</v>
      </c>
      <c r="AG22" s="82">
        <v>85081812.450000003</v>
      </c>
      <c r="AH22" s="214">
        <v>69254357.400000006</v>
      </c>
      <c r="AI22" s="83">
        <v>34372037.380000003</v>
      </c>
      <c r="AJ22" s="214">
        <v>94184649.530000001</v>
      </c>
      <c r="AK22" s="82">
        <v>76984056.11999999</v>
      </c>
      <c r="AL22" s="214">
        <v>63109208.43</v>
      </c>
      <c r="AM22" s="83">
        <v>36849826.549999997</v>
      </c>
      <c r="AN22" s="214">
        <v>103160623.89</v>
      </c>
      <c r="AO22" s="82">
        <v>87792131.430000007</v>
      </c>
      <c r="AP22" s="214">
        <v>71289524.599999994</v>
      </c>
      <c r="AQ22" s="83">
        <v>39441240.359999999</v>
      </c>
      <c r="AR22" s="81">
        <v>100989049.12</v>
      </c>
      <c r="AS22" s="82">
        <v>84248251.479999989</v>
      </c>
      <c r="AT22" s="81">
        <v>71028817.370000005</v>
      </c>
      <c r="AU22" s="83">
        <v>41245029.979999997</v>
      </c>
      <c r="AV22" s="81">
        <v>98929489.541276395</v>
      </c>
      <c r="AW22" s="82">
        <v>86112516.799999997</v>
      </c>
      <c r="AX22" s="81">
        <v>62678200.899999999</v>
      </c>
      <c r="AY22" s="83">
        <v>34506221.630000003</v>
      </c>
      <c r="AZ22" s="81">
        <v>98573470.239999995</v>
      </c>
      <c r="BA22" s="82">
        <v>81248408.969999999</v>
      </c>
      <c r="BB22" s="81">
        <v>71301310.900000006</v>
      </c>
      <c r="BC22" s="82">
        <v>33280802.989999998</v>
      </c>
      <c r="BD22" s="20"/>
    </row>
    <row r="23" spans="1:56" ht="27.9" customHeight="1">
      <c r="A23" s="144"/>
      <c r="B23" s="213"/>
      <c r="C23" s="80"/>
      <c r="D23" s="213"/>
      <c r="E23" s="79"/>
      <c r="F23" s="213"/>
      <c r="G23" s="80"/>
      <c r="H23" s="213"/>
      <c r="I23" s="79"/>
      <c r="J23" s="213"/>
      <c r="K23" s="80"/>
      <c r="L23" s="213"/>
      <c r="M23" s="79"/>
      <c r="N23" s="213"/>
      <c r="O23" s="80"/>
      <c r="P23" s="213"/>
      <c r="Q23" s="79"/>
      <c r="R23" s="213"/>
      <c r="S23" s="80"/>
      <c r="T23" s="213"/>
      <c r="U23" s="79"/>
      <c r="V23" s="213"/>
      <c r="W23" s="80"/>
      <c r="X23" s="213"/>
      <c r="Y23" s="79"/>
      <c r="Z23" s="213"/>
      <c r="AA23" s="80"/>
      <c r="AB23" s="213"/>
      <c r="AC23" s="79"/>
      <c r="AD23" s="213"/>
      <c r="AE23" s="80"/>
      <c r="AF23" s="213"/>
      <c r="AG23" s="79"/>
      <c r="AH23" s="213"/>
      <c r="AI23" s="80"/>
      <c r="AJ23" s="213"/>
      <c r="AK23" s="79"/>
      <c r="AL23" s="213"/>
      <c r="AM23" s="80"/>
      <c r="AN23" s="213"/>
      <c r="AO23" s="79"/>
      <c r="AP23" s="213"/>
      <c r="AQ23" s="80"/>
      <c r="AR23" s="78"/>
      <c r="AS23" s="79"/>
      <c r="AT23" s="78"/>
      <c r="AU23" s="80"/>
      <c r="AV23" s="78"/>
      <c r="AW23" s="79"/>
      <c r="AX23" s="78"/>
      <c r="AY23" s="80"/>
      <c r="AZ23" s="78"/>
      <c r="BA23" s="79"/>
      <c r="BB23" s="78"/>
      <c r="BC23" s="79"/>
      <c r="BD23" s="20"/>
    </row>
    <row r="24" spans="1:56" ht="27.9" customHeight="1">
      <c r="A24" s="145" t="s">
        <v>111</v>
      </c>
      <c r="B24" s="214">
        <f t="shared" ref="B24" si="52">B20-B22</f>
        <v>12981588.920000002</v>
      </c>
      <c r="C24" s="83">
        <f t="shared" ref="C24" si="53">C20-C22</f>
        <v>5990485.5399999991</v>
      </c>
      <c r="D24" s="214">
        <f t="shared" ref="D24:AP24" si="54">D20-D22</f>
        <v>11200141.289999992</v>
      </c>
      <c r="E24" s="82">
        <f t="shared" si="54"/>
        <v>14847416.74000001</v>
      </c>
      <c r="F24" s="214">
        <f t="shared" si="54"/>
        <v>15197983.659999996</v>
      </c>
      <c r="G24" s="83">
        <f t="shared" si="54"/>
        <v>6934947.3599999994</v>
      </c>
      <c r="H24" s="214">
        <f t="shared" si="54"/>
        <v>12204106.790000021</v>
      </c>
      <c r="I24" s="82">
        <f t="shared" si="54"/>
        <v>14777857.61999999</v>
      </c>
      <c r="J24" s="214">
        <f t="shared" si="54"/>
        <v>14972790.010000005</v>
      </c>
      <c r="K24" s="83">
        <f t="shared" si="54"/>
        <v>8016152.7700000033</v>
      </c>
      <c r="L24" s="214">
        <f t="shared" si="54"/>
        <v>19414645.709999979</v>
      </c>
      <c r="M24" s="82">
        <f t="shared" si="54"/>
        <v>21620759.569999993</v>
      </c>
      <c r="N24" s="214">
        <f t="shared" si="54"/>
        <v>19938988.400000006</v>
      </c>
      <c r="O24" s="83">
        <f t="shared" si="54"/>
        <v>8031068.3299999908</v>
      </c>
      <c r="P24" s="214">
        <f t="shared" si="54"/>
        <v>10932950.629999995</v>
      </c>
      <c r="Q24" s="82">
        <f t="shared" si="54"/>
        <v>12379903.690000013</v>
      </c>
      <c r="R24" s="214">
        <f t="shared" si="54"/>
        <v>10100690.640000001</v>
      </c>
      <c r="S24" s="83">
        <f t="shared" si="54"/>
        <v>3982280.4400000051</v>
      </c>
      <c r="T24" s="214">
        <f t="shared" si="54"/>
        <v>9492368.0900000036</v>
      </c>
      <c r="U24" s="82">
        <f t="shared" si="54"/>
        <v>11568937.120000005</v>
      </c>
      <c r="V24" s="214">
        <f t="shared" si="54"/>
        <v>11914141.039999999</v>
      </c>
      <c r="W24" s="83">
        <f t="shared" si="54"/>
        <v>6094367.450000003</v>
      </c>
      <c r="X24" s="214">
        <f t="shared" si="54"/>
        <v>7031863.25</v>
      </c>
      <c r="Y24" s="82">
        <f t="shared" si="54"/>
        <v>8149395.7300000042</v>
      </c>
      <c r="Z24" s="214">
        <f t="shared" si="54"/>
        <v>9113665.049999997</v>
      </c>
      <c r="AA24" s="83">
        <f t="shared" si="54"/>
        <v>4163964.0699999966</v>
      </c>
      <c r="AB24" s="214">
        <f t="shared" si="54"/>
        <v>945974.87999999523</v>
      </c>
      <c r="AC24" s="82">
        <f t="shared" si="54"/>
        <v>3252480.9899999946</v>
      </c>
      <c r="AD24" s="214">
        <f t="shared" si="54"/>
        <v>4879551.5899999961</v>
      </c>
      <c r="AE24" s="83">
        <f t="shared" si="54"/>
        <v>2974207.9600000009</v>
      </c>
      <c r="AF24" s="214">
        <f t="shared" si="54"/>
        <v>1603785.1862100959</v>
      </c>
      <c r="AG24" s="82">
        <f t="shared" si="54"/>
        <v>5642070.3100000173</v>
      </c>
      <c r="AH24" s="214">
        <f t="shared" si="54"/>
        <v>7343587.7099999934</v>
      </c>
      <c r="AI24" s="83">
        <f t="shared" si="54"/>
        <v>4053566.3299999982</v>
      </c>
      <c r="AJ24" s="214">
        <f t="shared" si="54"/>
        <v>3996118.5400000066</v>
      </c>
      <c r="AK24" s="82">
        <f t="shared" si="54"/>
        <v>7245910.2300000042</v>
      </c>
      <c r="AL24" s="214">
        <f t="shared" si="54"/>
        <v>9409791.359999992</v>
      </c>
      <c r="AM24" s="83">
        <f t="shared" si="54"/>
        <v>5721891.6099999994</v>
      </c>
      <c r="AN24" s="214">
        <f t="shared" si="54"/>
        <v>-755243.78999999166</v>
      </c>
      <c r="AO24" s="82">
        <f t="shared" si="54"/>
        <v>2457822.0799999982</v>
      </c>
      <c r="AP24" s="214">
        <f t="shared" si="54"/>
        <v>8284338.5100000054</v>
      </c>
      <c r="AQ24" s="83">
        <v>3580531.51</v>
      </c>
      <c r="AR24" s="81">
        <v>5944856.2300000004</v>
      </c>
      <c r="AS24" s="82">
        <v>9885118.580000028</v>
      </c>
      <c r="AT24" s="81">
        <v>13339992.230000004</v>
      </c>
      <c r="AU24" s="83">
        <v>5818902.5400000066</v>
      </c>
      <c r="AV24" s="81">
        <v>1935340.3787236065</v>
      </c>
      <c r="AW24" s="82">
        <v>5365925.4000000004</v>
      </c>
      <c r="AX24" s="81">
        <v>8177538.2000000002</v>
      </c>
      <c r="AY24" s="83">
        <v>3276728.05</v>
      </c>
      <c r="AZ24" s="81">
        <v>1187976.03</v>
      </c>
      <c r="BA24" s="82">
        <v>7185663.0499999998</v>
      </c>
      <c r="BB24" s="81">
        <v>8932122.2100000009</v>
      </c>
      <c r="BC24" s="82">
        <v>4991176</v>
      </c>
      <c r="BD24" s="20"/>
    </row>
    <row r="25" spans="1:56" ht="27.9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229"/>
      <c r="AC25" s="5"/>
      <c r="AD25" s="212"/>
      <c r="AE25" s="113"/>
      <c r="AF25" s="112"/>
      <c r="AG25" s="113"/>
      <c r="AH25" s="113"/>
      <c r="AI25" s="113"/>
      <c r="AJ25" s="112"/>
      <c r="AK25" s="113"/>
      <c r="AL25" s="113"/>
      <c r="AM25" s="113"/>
      <c r="AN25" s="113"/>
      <c r="AO25" s="5"/>
      <c r="AP25" s="5"/>
      <c r="AQ25" s="5"/>
    </row>
    <row r="26" spans="1:56" ht="27.9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229"/>
      <c r="AB26" s="5"/>
      <c r="AC26" s="212"/>
      <c r="AD26" s="5"/>
      <c r="AE26" s="11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56" ht="27.9" customHeight="1">
      <c r="A27" s="370" t="s">
        <v>148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532" t="s">
        <v>143</v>
      </c>
      <c r="X27" s="532"/>
      <c r="Y27" s="532"/>
      <c r="Z27" s="532"/>
      <c r="AA27" s="532"/>
      <c r="AB27" s="532"/>
      <c r="AC27" s="532"/>
      <c r="AD27" s="532"/>
      <c r="AE27" s="532"/>
      <c r="AF27" s="532"/>
      <c r="AG27" s="532"/>
      <c r="AH27" s="532"/>
      <c r="AI27" s="532"/>
      <c r="AJ27" s="532"/>
      <c r="AK27" s="532"/>
      <c r="AL27" s="532"/>
      <c r="AM27" s="532"/>
      <c r="AN27" s="532"/>
      <c r="AO27" s="532"/>
      <c r="AP27" s="532"/>
      <c r="AQ27" s="532"/>
      <c r="AR27" s="532"/>
    </row>
    <row r="28" spans="1:56" ht="27.9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29"/>
      <c r="AD28" s="5"/>
      <c r="AE28" s="212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56" ht="27.9" customHeight="1">
      <c r="A29" s="359"/>
      <c r="B29" s="230" t="s">
        <v>287</v>
      </c>
      <c r="C29" s="360" t="str">
        <f>C5</f>
        <v>IQ 25</v>
      </c>
      <c r="D29" s="230" t="str">
        <f>D17</f>
        <v>I-IVQ 24</v>
      </c>
      <c r="E29" s="361" t="s">
        <v>280</v>
      </c>
      <c r="F29" s="230" t="s">
        <v>276</v>
      </c>
      <c r="G29" s="360" t="str">
        <f>G5</f>
        <v>IQ 24</v>
      </c>
      <c r="H29" s="230" t="str">
        <f>H17</f>
        <v>I-IVQ 23</v>
      </c>
      <c r="I29" s="361" t="s">
        <v>270</v>
      </c>
      <c r="J29" s="230" t="s">
        <v>266</v>
      </c>
      <c r="K29" s="360" t="str">
        <f>K5</f>
        <v>IQ 23</v>
      </c>
      <c r="L29" s="230" t="s">
        <v>256</v>
      </c>
      <c r="M29" s="361" t="s">
        <v>254</v>
      </c>
      <c r="N29" s="230" t="s">
        <v>249</v>
      </c>
      <c r="O29" s="360" t="str">
        <f>O5</f>
        <v>IQ 22</v>
      </c>
      <c r="P29" s="230" t="s">
        <v>245</v>
      </c>
      <c r="Q29" s="361" t="s">
        <v>243</v>
      </c>
      <c r="R29" s="230" t="s">
        <v>239</v>
      </c>
      <c r="S29" s="360" t="str">
        <f>S5</f>
        <v>IQ21</v>
      </c>
      <c r="T29" s="230" t="s">
        <v>235</v>
      </c>
      <c r="U29" s="361" t="s">
        <v>231</v>
      </c>
      <c r="V29" s="230" t="s">
        <v>227</v>
      </c>
      <c r="W29" s="360" t="s">
        <v>226</v>
      </c>
      <c r="X29" s="230" t="s">
        <v>220</v>
      </c>
      <c r="Y29" s="361" t="s">
        <v>218</v>
      </c>
      <c r="Z29" s="230" t="s">
        <v>214</v>
      </c>
      <c r="AA29" s="360" t="s">
        <v>213</v>
      </c>
      <c r="AB29" s="230" t="s">
        <v>208</v>
      </c>
      <c r="AC29" s="361" t="s">
        <v>206</v>
      </c>
      <c r="AD29" s="230" t="s">
        <v>203</v>
      </c>
      <c r="AE29" s="360" t="s">
        <v>205</v>
      </c>
      <c r="AF29" s="230" t="s">
        <v>201</v>
      </c>
      <c r="AG29" s="361" t="s">
        <v>198</v>
      </c>
      <c r="AH29" s="230" t="s">
        <v>192</v>
      </c>
      <c r="AI29" s="360" t="s">
        <v>191</v>
      </c>
      <c r="AJ29" s="230" t="s">
        <v>196</v>
      </c>
      <c r="AK29" s="361" t="s">
        <v>187</v>
      </c>
      <c r="AL29" s="230" t="s">
        <v>185</v>
      </c>
      <c r="AM29" s="360" t="s">
        <v>184</v>
      </c>
      <c r="AN29" s="230" t="s">
        <v>181</v>
      </c>
      <c r="AO29" s="361" t="s">
        <v>179</v>
      </c>
      <c r="AP29" s="230" t="s">
        <v>175</v>
      </c>
      <c r="AQ29" s="360" t="s">
        <v>156</v>
      </c>
      <c r="AR29" s="362" t="s">
        <v>114</v>
      </c>
      <c r="AS29" s="361" t="s">
        <v>14</v>
      </c>
      <c r="AT29" s="363" t="s">
        <v>15</v>
      </c>
      <c r="AU29" s="360" t="s">
        <v>16</v>
      </c>
      <c r="AV29" s="363" t="s">
        <v>17</v>
      </c>
      <c r="AW29" s="361" t="s">
        <v>18</v>
      </c>
      <c r="AX29" s="363" t="s">
        <v>19</v>
      </c>
      <c r="AY29" s="360" t="s">
        <v>20</v>
      </c>
      <c r="AZ29" s="363" t="s">
        <v>21</v>
      </c>
      <c r="BA29" s="361" t="s">
        <v>22</v>
      </c>
      <c r="BB29" s="363" t="s">
        <v>23</v>
      </c>
      <c r="BC29" s="361" t="s">
        <v>24</v>
      </c>
    </row>
    <row r="30" spans="1:56" ht="27.9" customHeight="1">
      <c r="A30" s="364" t="s">
        <v>112</v>
      </c>
      <c r="B30" s="365">
        <f>258869.77+147041012.21</f>
        <v>147299881.98000002</v>
      </c>
      <c r="C30" s="366">
        <f>175810.76+22542474.6</f>
        <v>22718285.360000003</v>
      </c>
      <c r="D30" s="365">
        <f>568166.32+244689411.96</f>
        <v>245257578.28</v>
      </c>
      <c r="E30" s="367">
        <f>94198.88+143101313.97</f>
        <v>143195512.84999999</v>
      </c>
      <c r="F30" s="365">
        <f>92900.28+45787599.27</f>
        <v>45880499.550000004</v>
      </c>
      <c r="G30" s="366">
        <f>157175.42+17963572.77</f>
        <v>18120748.190000001</v>
      </c>
      <c r="H30" s="365">
        <f>141821581.09+517214.31</f>
        <v>142338795.40000001</v>
      </c>
      <c r="I30" s="367">
        <v>20602468.510000002</v>
      </c>
      <c r="J30" s="365">
        <f>288824.49+5028872.85</f>
        <v>5317697.34</v>
      </c>
      <c r="K30" s="366">
        <f>7154.98+4231265.83</f>
        <v>4238420.8100000005</v>
      </c>
      <c r="L30" s="365">
        <f>1146059.2+58264215.83</f>
        <v>59410275.030000001</v>
      </c>
      <c r="M30" s="367">
        <f>451763.07+30652317.32</f>
        <v>31104080.390000001</v>
      </c>
      <c r="N30" s="365">
        <f>227518.92+28275004.3</f>
        <v>28502523.220000003</v>
      </c>
      <c r="O30" s="366">
        <f>178620.41+17916852.86</f>
        <v>18095473.27</v>
      </c>
      <c r="P30" s="365">
        <f>33387585.72+1891804.79</f>
        <v>35279390.509999998</v>
      </c>
      <c r="Q30" s="367">
        <f>1108044.67+2811011.97</f>
        <v>3919056.64</v>
      </c>
      <c r="R30" s="365">
        <f>917170.82+2234020.67</f>
        <v>3151191.4899999998</v>
      </c>
      <c r="S30" s="366">
        <f>524112.15+1036892.86</f>
        <v>1561005.01</v>
      </c>
      <c r="T30" s="365">
        <f>5473546.31+30719109.79</f>
        <v>36192656.100000001</v>
      </c>
      <c r="U30" s="367">
        <f>9853658.9+3956811.38</f>
        <v>13810470.280000001</v>
      </c>
      <c r="V30" s="365">
        <f>3630085.71+7487446.11</f>
        <v>11117531.82</v>
      </c>
      <c r="W30" s="366">
        <f>136134.33+632900.71</f>
        <v>769035.03999999992</v>
      </c>
      <c r="X30" s="365">
        <f>45542797.24+2038715.31</f>
        <v>47581512.550000004</v>
      </c>
      <c r="Y30" s="367">
        <f>1612253.63+22491436.79</f>
        <v>24103690.419999998</v>
      </c>
      <c r="Z30" s="365">
        <f>1470124.68+21081331.6</f>
        <v>22551456.280000001</v>
      </c>
      <c r="AA30" s="366">
        <f>961546.89+14443695.99</f>
        <v>15405242.880000001</v>
      </c>
      <c r="AB30" s="365">
        <f>48462587.67+4677016.64</f>
        <v>53139604.310000002</v>
      </c>
      <c r="AC30" s="367">
        <f>14923461.56+2008139.5</f>
        <v>16931601.060000002</v>
      </c>
      <c r="AD30" s="365">
        <f>3403228.82+1488169.46</f>
        <v>4891398.2799999993</v>
      </c>
      <c r="AE30" s="366">
        <v>2520850.16</v>
      </c>
      <c r="AF30" s="365">
        <v>37610076.810000002</v>
      </c>
      <c r="AG30" s="367">
        <v>10025664.719999993</v>
      </c>
      <c r="AH30" s="365">
        <v>6838964.7599999998</v>
      </c>
      <c r="AI30" s="366">
        <v>2903304.23</v>
      </c>
      <c r="AJ30" s="365">
        <f>50031438.38+9397944.02</f>
        <v>59429382.400000006</v>
      </c>
      <c r="AK30" s="367">
        <f>25943976.19+3264988.74</f>
        <v>29208964.93</v>
      </c>
      <c r="AL30" s="365">
        <v>22848599.920000002</v>
      </c>
      <c r="AM30" s="366">
        <v>5949873.9699999997</v>
      </c>
      <c r="AN30" s="365">
        <v>43904482.780000001</v>
      </c>
      <c r="AO30" s="367">
        <v>19422036.43</v>
      </c>
      <c r="AP30" s="365">
        <v>12202233.390000001</v>
      </c>
      <c r="AQ30" s="366">
        <v>4579654.01</v>
      </c>
      <c r="AR30" s="369">
        <v>35039531.350000001</v>
      </c>
      <c r="AS30" s="367">
        <v>13395416.559999995</v>
      </c>
      <c r="AT30" s="369">
        <v>3009665.61</v>
      </c>
      <c r="AU30" s="366">
        <v>1249686.26</v>
      </c>
      <c r="AV30" s="369">
        <v>22181661.960000001</v>
      </c>
      <c r="AW30" s="367">
        <v>5642797.75</v>
      </c>
      <c r="AX30" s="369">
        <v>2959300.15</v>
      </c>
      <c r="AY30" s="366">
        <v>1482749.54</v>
      </c>
      <c r="AZ30" s="369">
        <v>16444005.199999999</v>
      </c>
      <c r="BA30" s="367">
        <v>4123000</v>
      </c>
      <c r="BB30" s="369">
        <v>833000</v>
      </c>
      <c r="BC30" s="367">
        <v>368000</v>
      </c>
      <c r="BD30" s="110"/>
    </row>
    <row r="31" spans="1:56" ht="27.9" customHeight="1">
      <c r="A31" s="144" t="s">
        <v>108</v>
      </c>
      <c r="B31" s="213">
        <v>0</v>
      </c>
      <c r="C31" s="80">
        <v>0</v>
      </c>
      <c r="D31" s="213">
        <f>19138+42013.25</f>
        <v>61151.25</v>
      </c>
      <c r="E31" s="79">
        <f>10350+41872.35</f>
        <v>52222.35</v>
      </c>
      <c r="F31" s="213">
        <f>10350+41839.35</f>
        <v>52189.35</v>
      </c>
      <c r="G31" s="80">
        <v>0</v>
      </c>
      <c r="H31" s="213">
        <v>0</v>
      </c>
      <c r="I31" s="79">
        <v>0</v>
      </c>
      <c r="J31" s="213">
        <v>0</v>
      </c>
      <c r="K31" s="80">
        <v>0</v>
      </c>
      <c r="L31" s="213">
        <v>8424.02</v>
      </c>
      <c r="M31" s="79">
        <v>2433</v>
      </c>
      <c r="N31" s="213">
        <v>0</v>
      </c>
      <c r="O31" s="80">
        <v>0</v>
      </c>
      <c r="P31" s="213">
        <v>0</v>
      </c>
      <c r="Q31" s="79">
        <v>0</v>
      </c>
      <c r="R31" s="213">
        <v>0</v>
      </c>
      <c r="S31" s="80">
        <v>0</v>
      </c>
      <c r="T31" s="213">
        <f>47291.71+83.46</f>
        <v>47375.17</v>
      </c>
      <c r="U31" s="79">
        <f>83.46+47291.71</f>
        <v>47375.17</v>
      </c>
      <c r="V31" s="213">
        <f>47291.71+83.46</f>
        <v>47375.17</v>
      </c>
      <c r="W31" s="80">
        <v>130.65</v>
      </c>
      <c r="X31" s="213">
        <f>231941.74+5411.8</f>
        <v>237353.53999999998</v>
      </c>
      <c r="Y31" s="79">
        <f>5411.8+205896.16</f>
        <v>211307.96</v>
      </c>
      <c r="Z31" s="213">
        <f>2130.76+201616.63</f>
        <v>203747.39</v>
      </c>
      <c r="AA31" s="80">
        <f>2130.76+198734.76</f>
        <v>200865.52000000002</v>
      </c>
      <c r="AB31" s="213">
        <f>3365293.42+2032</f>
        <v>3367325.42</v>
      </c>
      <c r="AC31" s="79">
        <f>2481828.07+11205.05</f>
        <v>2493033.1199999996</v>
      </c>
      <c r="AD31" s="213">
        <f>870645.86+9483.44</f>
        <v>880129.29999999993</v>
      </c>
      <c r="AE31" s="80">
        <v>807589.28999999992</v>
      </c>
      <c r="AF31" s="213">
        <v>614179.93999999994</v>
      </c>
      <c r="AG31" s="79">
        <v>338341.73</v>
      </c>
      <c r="AH31" s="213">
        <v>266928.24</v>
      </c>
      <c r="AI31" s="80">
        <v>122884.7</v>
      </c>
      <c r="AJ31" s="213">
        <f>430587.02+979.82</f>
        <v>431566.84</v>
      </c>
      <c r="AK31" s="79">
        <f>386478.63+3798.85</f>
        <v>390277.48</v>
      </c>
      <c r="AL31" s="213">
        <v>388642.16</v>
      </c>
      <c r="AM31" s="80">
        <v>488547.37</v>
      </c>
      <c r="AN31" s="213">
        <v>694087.15</v>
      </c>
      <c r="AO31" s="79">
        <v>6447.77</v>
      </c>
      <c r="AP31" s="213">
        <v>832107.16</v>
      </c>
      <c r="AQ31" s="80">
        <v>0</v>
      </c>
      <c r="AR31" s="78">
        <v>0</v>
      </c>
      <c r="AS31" s="79">
        <v>0</v>
      </c>
      <c r="AT31" s="78">
        <v>0</v>
      </c>
      <c r="AU31" s="80">
        <v>0</v>
      </c>
      <c r="AV31" s="78">
        <v>0</v>
      </c>
      <c r="AW31" s="79">
        <v>0</v>
      </c>
      <c r="AX31" s="78">
        <v>0</v>
      </c>
      <c r="AY31" s="80">
        <v>0</v>
      </c>
      <c r="AZ31" s="78">
        <v>0</v>
      </c>
      <c r="BA31" s="79">
        <v>0</v>
      </c>
      <c r="BB31" s="78">
        <v>0</v>
      </c>
      <c r="BC31" s="79">
        <v>0</v>
      </c>
      <c r="BD31" s="110"/>
    </row>
    <row r="32" spans="1:56" ht="27.9" customHeight="1">
      <c r="A32" s="145" t="s">
        <v>109</v>
      </c>
      <c r="B32" s="214">
        <f t="shared" ref="B32" si="55">SUM(B30:B31)</f>
        <v>147299881.98000002</v>
      </c>
      <c r="C32" s="83">
        <f t="shared" ref="C32" si="56">SUM(C30:C31)</f>
        <v>22718285.360000003</v>
      </c>
      <c r="D32" s="214">
        <f t="shared" ref="D32" si="57">SUM(D30:D31)</f>
        <v>245318729.53</v>
      </c>
      <c r="E32" s="82">
        <f t="shared" ref="E32" si="58">SUM(E30:E31)</f>
        <v>143247735.19999999</v>
      </c>
      <c r="F32" s="214">
        <f t="shared" ref="F32" si="59">SUM(F30:F31)</f>
        <v>45932688.900000006</v>
      </c>
      <c r="G32" s="83">
        <f t="shared" ref="G32" si="60">SUM(G30:G31)</f>
        <v>18120748.190000001</v>
      </c>
      <c r="H32" s="214">
        <f t="shared" ref="H32" si="61">SUM(H30:H31)</f>
        <v>142338795.40000001</v>
      </c>
      <c r="I32" s="82">
        <f t="shared" ref="I32" si="62">SUM(I30:I31)</f>
        <v>20602468.510000002</v>
      </c>
      <c r="J32" s="214">
        <f t="shared" ref="J32" si="63">SUM(J30:J31)</f>
        <v>5317697.34</v>
      </c>
      <c r="K32" s="83">
        <f t="shared" ref="K32" si="64">SUM(K30:K31)</f>
        <v>4238420.8100000005</v>
      </c>
      <c r="L32" s="214">
        <f t="shared" ref="L32" si="65">SUM(L30:L31)</f>
        <v>59418699.050000004</v>
      </c>
      <c r="M32" s="82">
        <f t="shared" ref="M32" si="66">SUM(M30:M31)</f>
        <v>31106513.390000001</v>
      </c>
      <c r="N32" s="214">
        <f t="shared" ref="N32" si="67">SUM(N30:N31)</f>
        <v>28502523.220000003</v>
      </c>
      <c r="O32" s="83">
        <f t="shared" ref="O32" si="68">SUM(O30:O31)</f>
        <v>18095473.27</v>
      </c>
      <c r="P32" s="214">
        <f t="shared" ref="P32" si="69">SUM(P30:P31)</f>
        <v>35279390.509999998</v>
      </c>
      <c r="Q32" s="82">
        <f t="shared" ref="Q32" si="70">SUM(Q30:Q31)</f>
        <v>3919056.64</v>
      </c>
      <c r="R32" s="214">
        <f t="shared" ref="R32" si="71">SUM(R30:R31)</f>
        <v>3151191.4899999998</v>
      </c>
      <c r="S32" s="83">
        <f t="shared" ref="S32" si="72">SUM(S30:S31)</f>
        <v>1561005.01</v>
      </c>
      <c r="T32" s="214">
        <f t="shared" ref="T32" si="73">SUM(T30:T31)</f>
        <v>36240031.270000003</v>
      </c>
      <c r="U32" s="82">
        <f t="shared" ref="U32" si="74">SUM(U30:U31)</f>
        <v>13857845.450000001</v>
      </c>
      <c r="V32" s="214">
        <f t="shared" ref="V32" si="75">SUM(V30:V31)</f>
        <v>11164906.99</v>
      </c>
      <c r="W32" s="83">
        <f t="shared" ref="W32" si="76">SUM(W30:W31)</f>
        <v>769165.69</v>
      </c>
      <c r="X32" s="214">
        <f t="shared" ref="X32" si="77">SUM(X30:X31)</f>
        <v>47818866.090000004</v>
      </c>
      <c r="Y32" s="82">
        <f t="shared" ref="Y32" si="78">SUM(Y30:Y31)</f>
        <v>24314998.379999999</v>
      </c>
      <c r="Z32" s="214">
        <f t="shared" ref="Z32:AE32" si="79">SUM(Z30:Z31)</f>
        <v>22755203.670000002</v>
      </c>
      <c r="AA32" s="83">
        <f t="shared" si="79"/>
        <v>15606108.4</v>
      </c>
      <c r="AB32" s="214">
        <f t="shared" si="79"/>
        <v>56506929.730000004</v>
      </c>
      <c r="AC32" s="82">
        <f t="shared" si="79"/>
        <v>19424634.180000003</v>
      </c>
      <c r="AD32" s="214">
        <f t="shared" si="79"/>
        <v>5771527.5799999991</v>
      </c>
      <c r="AE32" s="83">
        <f t="shared" si="79"/>
        <v>3328439.45</v>
      </c>
      <c r="AF32" s="214">
        <f>AF30+AF31</f>
        <v>38224256.75</v>
      </c>
      <c r="AG32" s="82">
        <f>SUM(AG30:AG31)</f>
        <v>10364006.449999994</v>
      </c>
      <c r="AH32" s="214">
        <f>AH30+AH31</f>
        <v>7105893</v>
      </c>
      <c r="AI32" s="83">
        <f>SUM(AI30:AI31)</f>
        <v>3026188.93</v>
      </c>
      <c r="AJ32" s="214">
        <f>AJ30+AJ31</f>
        <v>59860949.24000001</v>
      </c>
      <c r="AK32" s="82">
        <f>SUM(AK30:AK31)</f>
        <v>29599242.41</v>
      </c>
      <c r="AL32" s="214">
        <f>AL30+AL31</f>
        <v>23237242.080000002</v>
      </c>
      <c r="AM32" s="83">
        <f>SUM(AM30:AM31)</f>
        <v>6438421.3399999999</v>
      </c>
      <c r="AN32" s="214">
        <f>AN30+AN31</f>
        <v>44598569.93</v>
      </c>
      <c r="AO32" s="82">
        <f>SUM(AO30:AO31)</f>
        <v>19428484.199999999</v>
      </c>
      <c r="AP32" s="214">
        <f>AP30+AP31</f>
        <v>13034340.550000001</v>
      </c>
      <c r="AQ32" s="83">
        <v>4579654.01</v>
      </c>
      <c r="AR32" s="81">
        <v>35039531.350000001</v>
      </c>
      <c r="AS32" s="82">
        <v>13395416.559999995</v>
      </c>
      <c r="AT32" s="81">
        <v>3009665.61</v>
      </c>
      <c r="AU32" s="83">
        <v>1249686.26</v>
      </c>
      <c r="AV32" s="81">
        <v>22181661.960000001</v>
      </c>
      <c r="AW32" s="82">
        <v>5642797.75</v>
      </c>
      <c r="AX32" s="81">
        <v>2959300.15</v>
      </c>
      <c r="AY32" s="83">
        <v>1482749.54</v>
      </c>
      <c r="AZ32" s="81">
        <v>16444005.199999999</v>
      </c>
      <c r="BA32" s="82">
        <v>4123000</v>
      </c>
      <c r="BB32" s="81">
        <v>833000</v>
      </c>
      <c r="BC32" s="82">
        <v>368000</v>
      </c>
      <c r="BD32" s="110"/>
    </row>
    <row r="33" spans="1:56" ht="27.9" customHeight="1">
      <c r="A33" s="144"/>
      <c r="B33" s="213"/>
      <c r="C33" s="80"/>
      <c r="D33" s="213"/>
      <c r="E33" s="79"/>
      <c r="F33" s="213"/>
      <c r="G33" s="80"/>
      <c r="H33" s="213"/>
      <c r="I33" s="79"/>
      <c r="J33" s="213"/>
      <c r="K33" s="80"/>
      <c r="L33" s="213"/>
      <c r="M33" s="79"/>
      <c r="N33" s="213"/>
      <c r="O33" s="80"/>
      <c r="P33" s="213"/>
      <c r="Q33" s="79"/>
      <c r="R33" s="213"/>
      <c r="S33" s="80"/>
      <c r="T33" s="213"/>
      <c r="U33" s="79"/>
      <c r="V33" s="213"/>
      <c r="W33" s="80"/>
      <c r="X33" s="213"/>
      <c r="Y33" s="79"/>
      <c r="Z33" s="213"/>
      <c r="AA33" s="80"/>
      <c r="AB33" s="213"/>
      <c r="AC33" s="79"/>
      <c r="AD33" s="213"/>
      <c r="AE33" s="80"/>
      <c r="AF33" s="213"/>
      <c r="AG33" s="79"/>
      <c r="AH33" s="213"/>
      <c r="AI33" s="80"/>
      <c r="AJ33" s="213"/>
      <c r="AK33" s="79"/>
      <c r="AL33" s="213"/>
      <c r="AM33" s="80"/>
      <c r="AN33" s="213"/>
      <c r="AO33" s="79"/>
      <c r="AP33" s="213"/>
      <c r="AQ33" s="80"/>
      <c r="AR33" s="78"/>
      <c r="AS33" s="79"/>
      <c r="AT33" s="78"/>
      <c r="AU33" s="80"/>
      <c r="AV33" s="78"/>
      <c r="AW33" s="79"/>
      <c r="AX33" s="78"/>
      <c r="AY33" s="80"/>
      <c r="AZ33" s="78"/>
      <c r="BA33" s="79"/>
      <c r="BB33" s="78"/>
      <c r="BC33" s="79"/>
      <c r="BD33" s="110"/>
    </row>
    <row r="34" spans="1:56" ht="27.9" customHeight="1">
      <c r="A34" s="145" t="s">
        <v>110</v>
      </c>
      <c r="B34" s="214">
        <f>257537.34+112960856.34</f>
        <v>113218393.68000001</v>
      </c>
      <c r="C34" s="83">
        <f>20280810.87+163144.97</f>
        <v>20443955.84</v>
      </c>
      <c r="D34" s="214">
        <v>195736255.96999997</v>
      </c>
      <c r="E34" s="82">
        <v>114485615</v>
      </c>
      <c r="F34" s="214">
        <v>38411856.75</v>
      </c>
      <c r="G34" s="83">
        <v>15754863.359999999</v>
      </c>
      <c r="H34" s="214">
        <v>106645308.97999999</v>
      </c>
      <c r="I34" s="82">
        <v>25918892.039999999</v>
      </c>
      <c r="J34" s="214">
        <v>9144008.6999999993</v>
      </c>
      <c r="K34" s="83">
        <v>6200876.9800000004</v>
      </c>
      <c r="L34" s="214">
        <v>53139609.75</v>
      </c>
      <c r="M34" s="82">
        <v>31912099.800000001</v>
      </c>
      <c r="N34" s="214">
        <v>26664050.77</v>
      </c>
      <c r="O34" s="83">
        <v>15544540.26</v>
      </c>
      <c r="P34" s="214">
        <v>37163889.879999995</v>
      </c>
      <c r="Q34" s="82">
        <v>7789542.25</v>
      </c>
      <c r="R34" s="214">
        <v>5446490.25</v>
      </c>
      <c r="S34" s="83">
        <v>2648128.63</v>
      </c>
      <c r="T34" s="214">
        <v>32027933.750000004</v>
      </c>
      <c r="U34" s="82">
        <v>14182073.33</v>
      </c>
      <c r="V34" s="214">
        <v>10207865.529999999</v>
      </c>
      <c r="W34" s="83">
        <v>1941357.0699999998</v>
      </c>
      <c r="X34" s="214">
        <v>48726389.890000008</v>
      </c>
      <c r="Y34" s="82">
        <v>25401926.939999998</v>
      </c>
      <c r="Z34" s="214">
        <v>21507640.979999997</v>
      </c>
      <c r="AA34" s="83">
        <v>14267617.91</v>
      </c>
      <c r="AB34" s="214">
        <v>51603611.509999998</v>
      </c>
      <c r="AC34" s="82">
        <v>21334075.829999998</v>
      </c>
      <c r="AD34" s="214">
        <v>8758570.8499999996</v>
      </c>
      <c r="AE34" s="83">
        <v>5082107.2648543203</v>
      </c>
      <c r="AF34" s="214">
        <v>40955496.183504127</v>
      </c>
      <c r="AG34" s="82">
        <v>13908959.156071346</v>
      </c>
      <c r="AH34" s="214">
        <v>10185267.728661403</v>
      </c>
      <c r="AI34" s="83">
        <v>4322345.672636006</v>
      </c>
      <c r="AJ34" s="214">
        <v>56304726.039999999</v>
      </c>
      <c r="AK34" s="82">
        <v>28425240.260000002</v>
      </c>
      <c r="AL34" s="214">
        <v>20557522.369999997</v>
      </c>
      <c r="AM34" s="83">
        <v>6234958.8400000008</v>
      </c>
      <c r="AN34" s="214">
        <v>42288114</v>
      </c>
      <c r="AO34" s="82">
        <v>21251128.460000001</v>
      </c>
      <c r="AP34" s="214">
        <v>14611627.469999999</v>
      </c>
      <c r="AQ34" s="83">
        <v>5565163.54</v>
      </c>
      <c r="AR34" s="81">
        <v>34130996.509999998</v>
      </c>
      <c r="AS34" s="82">
        <v>13945498.029999999</v>
      </c>
      <c r="AT34" s="81">
        <v>3895782.78</v>
      </c>
      <c r="AU34" s="83">
        <v>1875139.37</v>
      </c>
      <c r="AV34" s="81">
        <v>23743342.499306642</v>
      </c>
      <c r="AW34" s="82">
        <v>8180082.1400521388</v>
      </c>
      <c r="AX34" s="81">
        <v>4279000</v>
      </c>
      <c r="AY34" s="83">
        <v>1470771.6082443525</v>
      </c>
      <c r="AZ34" s="81">
        <v>13888731.128974797</v>
      </c>
      <c r="BA34" s="82">
        <v>4208000</v>
      </c>
      <c r="BB34" s="81">
        <v>1369000</v>
      </c>
      <c r="BC34" s="82">
        <v>643000</v>
      </c>
      <c r="BD34" s="110"/>
    </row>
    <row r="35" spans="1:56" ht="27.9" customHeight="1">
      <c r="A35" s="144"/>
      <c r="B35" s="213"/>
      <c r="C35" s="80"/>
      <c r="D35" s="213"/>
      <c r="E35" s="79"/>
      <c r="F35" s="213"/>
      <c r="G35" s="80"/>
      <c r="H35" s="213"/>
      <c r="I35" s="79"/>
      <c r="J35" s="213"/>
      <c r="K35" s="80"/>
      <c r="L35" s="213"/>
      <c r="M35" s="79"/>
      <c r="N35" s="213"/>
      <c r="O35" s="80"/>
      <c r="P35" s="213"/>
      <c r="Q35" s="79"/>
      <c r="R35" s="213"/>
      <c r="S35" s="80"/>
      <c r="T35" s="213"/>
      <c r="U35" s="79"/>
      <c r="V35" s="213"/>
      <c r="W35" s="80"/>
      <c r="X35" s="213"/>
      <c r="Y35" s="79"/>
      <c r="Z35" s="213"/>
      <c r="AA35" s="80"/>
      <c r="AB35" s="213"/>
      <c r="AC35" s="79"/>
      <c r="AD35" s="213"/>
      <c r="AE35" s="80"/>
      <c r="AF35" s="213"/>
      <c r="AG35" s="79"/>
      <c r="AH35" s="213"/>
      <c r="AI35" s="80"/>
      <c r="AJ35" s="213"/>
      <c r="AK35" s="79"/>
      <c r="AL35" s="213"/>
      <c r="AM35" s="80"/>
      <c r="AN35" s="213"/>
      <c r="AO35" s="79"/>
      <c r="AP35" s="213"/>
      <c r="AQ35" s="80"/>
      <c r="AR35" s="78"/>
      <c r="AS35" s="79"/>
      <c r="AT35" s="78"/>
      <c r="AU35" s="80"/>
      <c r="AV35" s="78"/>
      <c r="AW35" s="79"/>
      <c r="AX35" s="78"/>
      <c r="AY35" s="80"/>
      <c r="AZ35" s="78"/>
      <c r="BA35" s="79"/>
      <c r="BB35" s="78"/>
      <c r="BC35" s="79"/>
      <c r="BD35" s="110"/>
    </row>
    <row r="36" spans="1:56" ht="27.9" customHeight="1">
      <c r="A36" s="145" t="s">
        <v>111</v>
      </c>
      <c r="B36" s="214">
        <f t="shared" ref="B36" si="80">B32-B34</f>
        <v>34081488.300000012</v>
      </c>
      <c r="C36" s="83">
        <f t="shared" ref="C36" si="81">C32-C34</f>
        <v>2274329.5200000033</v>
      </c>
      <c r="D36" s="214">
        <f t="shared" ref="D36:AP36" si="82">D32-D34</f>
        <v>49582473.560000032</v>
      </c>
      <c r="E36" s="82">
        <f t="shared" si="82"/>
        <v>28762120.199999988</v>
      </c>
      <c r="F36" s="214">
        <f t="shared" si="82"/>
        <v>7520832.150000006</v>
      </c>
      <c r="G36" s="83">
        <f t="shared" si="82"/>
        <v>2365884.8300000019</v>
      </c>
      <c r="H36" s="214">
        <f t="shared" si="82"/>
        <v>35693486.420000017</v>
      </c>
      <c r="I36" s="82">
        <f t="shared" si="82"/>
        <v>-5316423.5299999975</v>
      </c>
      <c r="J36" s="214">
        <f t="shared" si="82"/>
        <v>-3826311.3599999994</v>
      </c>
      <c r="K36" s="83">
        <f t="shared" si="82"/>
        <v>-1962456.17</v>
      </c>
      <c r="L36" s="214">
        <f t="shared" si="82"/>
        <v>6279089.3000000045</v>
      </c>
      <c r="M36" s="82">
        <f t="shared" si="82"/>
        <v>-805586.41000000015</v>
      </c>
      <c r="N36" s="214">
        <f t="shared" si="82"/>
        <v>1838472.450000003</v>
      </c>
      <c r="O36" s="83">
        <f t="shared" si="82"/>
        <v>2550933.0099999998</v>
      </c>
      <c r="P36" s="214">
        <f t="shared" si="82"/>
        <v>-1884499.3699999973</v>
      </c>
      <c r="Q36" s="82">
        <f t="shared" si="82"/>
        <v>-3870485.61</v>
      </c>
      <c r="R36" s="214">
        <f t="shared" si="82"/>
        <v>-2295298.7600000002</v>
      </c>
      <c r="S36" s="83">
        <f t="shared" si="82"/>
        <v>-1087123.6199999999</v>
      </c>
      <c r="T36" s="214">
        <f t="shared" si="82"/>
        <v>4212097.5199999996</v>
      </c>
      <c r="U36" s="82">
        <f t="shared" si="82"/>
        <v>-324227.87999999896</v>
      </c>
      <c r="V36" s="214">
        <f t="shared" si="82"/>
        <v>957041.46000000089</v>
      </c>
      <c r="W36" s="83">
        <f t="shared" si="82"/>
        <v>-1172191.3799999999</v>
      </c>
      <c r="X36" s="214">
        <f t="shared" si="82"/>
        <v>-907523.80000000447</v>
      </c>
      <c r="Y36" s="82">
        <f t="shared" si="82"/>
        <v>-1086928.5599999987</v>
      </c>
      <c r="Z36" s="214">
        <f t="shared" si="82"/>
        <v>1247562.6900000051</v>
      </c>
      <c r="AA36" s="83">
        <f t="shared" si="82"/>
        <v>1338490.4900000002</v>
      </c>
      <c r="AB36" s="214">
        <f t="shared" si="82"/>
        <v>4903318.2200000063</v>
      </c>
      <c r="AC36" s="82">
        <f t="shared" si="82"/>
        <v>-1909441.6499999948</v>
      </c>
      <c r="AD36" s="214">
        <f t="shared" si="82"/>
        <v>-2987043.2700000005</v>
      </c>
      <c r="AE36" s="83">
        <f t="shared" si="82"/>
        <v>-1753667.8148543201</v>
      </c>
      <c r="AF36" s="214">
        <f t="shared" si="82"/>
        <v>-2731239.433504127</v>
      </c>
      <c r="AG36" s="82">
        <f t="shared" si="82"/>
        <v>-3544952.7060713526</v>
      </c>
      <c r="AH36" s="214">
        <f t="shared" si="82"/>
        <v>-3079374.7286614031</v>
      </c>
      <c r="AI36" s="83">
        <f t="shared" si="82"/>
        <v>-1296156.7426360059</v>
      </c>
      <c r="AJ36" s="214">
        <f t="shared" si="82"/>
        <v>3556223.2000000104</v>
      </c>
      <c r="AK36" s="82">
        <f t="shared" si="82"/>
        <v>1174002.1499999985</v>
      </c>
      <c r="AL36" s="214">
        <f t="shared" si="82"/>
        <v>2679719.7100000046</v>
      </c>
      <c r="AM36" s="83">
        <f t="shared" si="82"/>
        <v>203462.49999999907</v>
      </c>
      <c r="AN36" s="214">
        <f t="shared" si="82"/>
        <v>2310455.9299999997</v>
      </c>
      <c r="AO36" s="82">
        <f t="shared" si="82"/>
        <v>-1822644.2600000016</v>
      </c>
      <c r="AP36" s="214">
        <f t="shared" si="82"/>
        <v>-1577286.9199999981</v>
      </c>
      <c r="AQ36" s="83">
        <v>-985509.53</v>
      </c>
      <c r="AR36" s="81">
        <v>908534.84</v>
      </c>
      <c r="AS36" s="82">
        <v>-550081.47</v>
      </c>
      <c r="AT36" s="81">
        <v>-886117.17</v>
      </c>
      <c r="AU36" s="83">
        <v>-625453.11</v>
      </c>
      <c r="AV36" s="81">
        <v>-1561680.5393066406</v>
      </c>
      <c r="AW36" s="82">
        <v>-2537284.3900521388</v>
      </c>
      <c r="AX36" s="81">
        <v>-1319699.8500000001</v>
      </c>
      <c r="AY36" s="83">
        <v>11977.931755647529</v>
      </c>
      <c r="AZ36" s="81">
        <v>2555274.0710252021</v>
      </c>
      <c r="BA36" s="82">
        <v>-85000</v>
      </c>
      <c r="BB36" s="81">
        <v>-536000</v>
      </c>
      <c r="BC36" s="82">
        <v>-275000</v>
      </c>
      <c r="BD36" s="110"/>
    </row>
    <row r="37" spans="1:56" ht="27.9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229"/>
      <c r="AB37" s="5"/>
      <c r="AC37" s="212"/>
      <c r="AD37" s="5"/>
      <c r="AE37" s="114"/>
      <c r="AF37" s="115"/>
      <c r="AG37" s="115"/>
      <c r="AH37" s="115"/>
      <c r="AI37" s="114"/>
      <c r="AJ37" s="115"/>
      <c r="AK37" s="5"/>
      <c r="AL37" s="5"/>
      <c r="AM37" s="5"/>
      <c r="AN37" s="5"/>
      <c r="AO37" s="5"/>
      <c r="AP37" s="5"/>
    </row>
    <row r="38" spans="1:56" ht="27.9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229"/>
      <c r="AA38" s="5"/>
      <c r="AB38" s="212"/>
      <c r="AC38" s="5"/>
      <c r="AD38" s="116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56" ht="27.9" customHeight="1">
      <c r="A39" s="370" t="s">
        <v>147</v>
      </c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0"/>
      <c r="U39" s="370"/>
      <c r="V39" s="532" t="s">
        <v>143</v>
      </c>
      <c r="W39" s="532"/>
      <c r="X39" s="532"/>
      <c r="Y39" s="532"/>
      <c r="Z39" s="532"/>
      <c r="AA39" s="532"/>
      <c r="AB39" s="532"/>
      <c r="AC39" s="532"/>
      <c r="AD39" s="532"/>
      <c r="AE39" s="532"/>
      <c r="AF39" s="532"/>
      <c r="AG39" s="532"/>
      <c r="AH39" s="532"/>
      <c r="AI39" s="532"/>
      <c r="AJ39" s="532"/>
      <c r="AK39" s="532"/>
      <c r="AL39" s="532"/>
      <c r="AM39" s="532"/>
      <c r="AN39" s="532"/>
      <c r="AO39" s="532"/>
      <c r="AP39" s="532"/>
      <c r="AQ39" s="532"/>
    </row>
    <row r="40" spans="1:56" ht="27.9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229"/>
      <c r="AC40" s="5"/>
      <c r="AD40" s="212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56" ht="27.9" customHeight="1">
      <c r="A41" s="359"/>
      <c r="B41" s="230" t="s">
        <v>287</v>
      </c>
      <c r="C41" s="360" t="str">
        <f>C5</f>
        <v>IQ 25</v>
      </c>
      <c r="D41" s="230" t="str">
        <f>D29</f>
        <v>I-IVQ 24</v>
      </c>
      <c r="E41" s="361" t="s">
        <v>280</v>
      </c>
      <c r="F41" s="230" t="s">
        <v>276</v>
      </c>
      <c r="G41" s="360" t="str">
        <f>G5</f>
        <v>IQ 24</v>
      </c>
      <c r="H41" s="230" t="str">
        <f>H29</f>
        <v>I-IVQ 23</v>
      </c>
      <c r="I41" s="361" t="s">
        <v>270</v>
      </c>
      <c r="J41" s="230" t="s">
        <v>266</v>
      </c>
      <c r="K41" s="360" t="str">
        <f>K5</f>
        <v>IQ 23</v>
      </c>
      <c r="L41" s="230" t="s">
        <v>256</v>
      </c>
      <c r="M41" s="361" t="s">
        <v>254</v>
      </c>
      <c r="N41" s="230" t="s">
        <v>249</v>
      </c>
      <c r="O41" s="360" t="str">
        <f>O5</f>
        <v>IQ 22</v>
      </c>
      <c r="P41" s="230" t="s">
        <v>245</v>
      </c>
      <c r="Q41" s="361" t="s">
        <v>243</v>
      </c>
      <c r="R41" s="230" t="s">
        <v>239</v>
      </c>
      <c r="S41" s="360" t="str">
        <f>S5</f>
        <v>IQ21</v>
      </c>
      <c r="T41" s="230" t="s">
        <v>235</v>
      </c>
      <c r="U41" s="361" t="s">
        <v>231</v>
      </c>
      <c r="V41" s="230" t="s">
        <v>227</v>
      </c>
      <c r="W41" s="360" t="s">
        <v>226</v>
      </c>
      <c r="X41" s="230" t="s">
        <v>220</v>
      </c>
      <c r="Y41" s="361" t="s">
        <v>218</v>
      </c>
      <c r="Z41" s="230" t="s">
        <v>214</v>
      </c>
      <c r="AA41" s="360" t="s">
        <v>213</v>
      </c>
      <c r="AB41" s="230" t="s">
        <v>208</v>
      </c>
      <c r="AC41" s="361" t="s">
        <v>206</v>
      </c>
      <c r="AD41" s="230" t="s">
        <v>203</v>
      </c>
      <c r="AE41" s="360" t="s">
        <v>205</v>
      </c>
      <c r="AF41" s="230" t="s">
        <v>201</v>
      </c>
      <c r="AG41" s="361" t="s">
        <v>198</v>
      </c>
      <c r="AH41" s="230" t="s">
        <v>192</v>
      </c>
      <c r="AI41" s="360" t="s">
        <v>191</v>
      </c>
      <c r="AJ41" s="230" t="s">
        <v>196</v>
      </c>
      <c r="AK41" s="361" t="s">
        <v>187</v>
      </c>
      <c r="AL41" s="230" t="s">
        <v>185</v>
      </c>
      <c r="AM41" s="360" t="s">
        <v>184</v>
      </c>
      <c r="AN41" s="230" t="s">
        <v>181</v>
      </c>
      <c r="AO41" s="361" t="s">
        <v>179</v>
      </c>
      <c r="AP41" s="230" t="s">
        <v>175</v>
      </c>
      <c r="AQ41" s="360" t="s">
        <v>155</v>
      </c>
      <c r="AR41" s="362" t="s">
        <v>114</v>
      </c>
      <c r="AS41" s="361" t="s">
        <v>14</v>
      </c>
      <c r="AT41" s="363" t="s">
        <v>15</v>
      </c>
      <c r="AU41" s="360" t="s">
        <v>16</v>
      </c>
      <c r="AV41" s="363" t="s">
        <v>17</v>
      </c>
      <c r="AW41" s="361" t="s">
        <v>18</v>
      </c>
      <c r="AX41" s="363" t="s">
        <v>19</v>
      </c>
      <c r="AY41" s="360" t="s">
        <v>20</v>
      </c>
      <c r="AZ41" s="363" t="s">
        <v>21</v>
      </c>
      <c r="BA41" s="361" t="s">
        <v>22</v>
      </c>
      <c r="BB41" s="363" t="s">
        <v>23</v>
      </c>
      <c r="BC41" s="361" t="s">
        <v>24</v>
      </c>
    </row>
    <row r="42" spans="1:56" ht="27.9" customHeight="1">
      <c r="A42" s="364" t="s">
        <v>112</v>
      </c>
      <c r="B42" s="365">
        <f>1205565.38+4628361.22</f>
        <v>5833926.5999999996</v>
      </c>
      <c r="C42" s="366">
        <f>598542.52+2304326.26</f>
        <v>2902868.78</v>
      </c>
      <c r="D42" s="365">
        <f>3708223.45+8563370.49</f>
        <v>12271593.940000001</v>
      </c>
      <c r="E42" s="367">
        <f>3542164+6720582.61</f>
        <v>10262746.609999999</v>
      </c>
      <c r="F42" s="365">
        <f>2900050.91+4663548.24</f>
        <v>7563599.1500000004</v>
      </c>
      <c r="G42" s="366">
        <f>1291457.68+2646025.2</f>
        <v>3937482.88</v>
      </c>
      <c r="H42" s="365">
        <f>4111335.12+12615797.95</f>
        <v>16727133.07</v>
      </c>
      <c r="I42" s="367">
        <v>9532594.0299999993</v>
      </c>
      <c r="J42" s="365">
        <f>3132055.67+4523183.74</f>
        <v>7655239.4100000001</v>
      </c>
      <c r="K42" s="366">
        <f>1565489.02+2510563.47</f>
        <v>4076052.49</v>
      </c>
      <c r="L42" s="365">
        <f>3650154.73+13000705.47</f>
        <v>16650860.200000001</v>
      </c>
      <c r="M42" s="367">
        <f>7338587.92+2903946.56</f>
        <v>10242534.48</v>
      </c>
      <c r="N42" s="365">
        <f>1537489.09+5024693.47</f>
        <v>6562182.5599999996</v>
      </c>
      <c r="O42" s="366">
        <f>575899.74+2317492</f>
        <v>2893391.74</v>
      </c>
      <c r="P42" s="365">
        <f>8111011.69+3598313.69</f>
        <v>11709325.380000001</v>
      </c>
      <c r="Q42" s="367">
        <f>3430888+4768720.91</f>
        <v>8199608.9100000001</v>
      </c>
      <c r="R42" s="365">
        <f>2542665.33+3151905.06</f>
        <v>5694570.3900000006</v>
      </c>
      <c r="S42" s="366">
        <f>1135258.74+1657854.74</f>
        <v>2793113.48</v>
      </c>
      <c r="T42" s="365">
        <f>2080327.15+6607119.59</f>
        <v>8687446.7400000002</v>
      </c>
      <c r="U42" s="367">
        <f>1634012.73+4627671.76</f>
        <v>6261684.4900000002</v>
      </c>
      <c r="V42" s="365">
        <f>1089388.66+3368077.7</f>
        <v>4457466.3600000003</v>
      </c>
      <c r="W42" s="366">
        <f>743655.02+1760538.3</f>
        <v>2504193.3200000003</v>
      </c>
      <c r="X42" s="365">
        <f>2876537.11+7051212.04</f>
        <v>9927749.1500000004</v>
      </c>
      <c r="Y42" s="367">
        <f>2619222.85+5158412.61</f>
        <v>7777635.4600000009</v>
      </c>
      <c r="Z42" s="365">
        <f>1896194.95+3840737.48</f>
        <v>5736932.4299999997</v>
      </c>
      <c r="AA42" s="366">
        <f>1764696.48+738790.35</f>
        <v>2503486.83</v>
      </c>
      <c r="AB42" s="365">
        <v>9923226.2100000009</v>
      </c>
      <c r="AC42" s="367">
        <f>5130182.15+2687231.49</f>
        <v>7817413.6400000006</v>
      </c>
      <c r="AD42" s="365">
        <f>5283947.47+1806733.65</f>
        <v>7090681.1199999992</v>
      </c>
      <c r="AE42" s="366">
        <v>2485821.8000000007</v>
      </c>
      <c r="AF42" s="365">
        <v>10645638.920000004</v>
      </c>
      <c r="AG42" s="367">
        <v>9045651.3800000027</v>
      </c>
      <c r="AH42" s="365">
        <v>5470269.3300000001</v>
      </c>
      <c r="AI42" s="366">
        <v>2363586.0300000007</v>
      </c>
      <c r="AJ42" s="365">
        <f>8390329.63+2285976.22</f>
        <v>10676305.850000001</v>
      </c>
      <c r="AK42" s="367">
        <f>5730624.59+1779453.24</f>
        <v>7510077.8300000001</v>
      </c>
      <c r="AL42" s="365">
        <v>5483049.4100000001</v>
      </c>
      <c r="AM42" s="366">
        <v>2912570.63</v>
      </c>
      <c r="AN42" s="365">
        <v>12786184.74</v>
      </c>
      <c r="AO42" s="367">
        <v>7573793.71</v>
      </c>
      <c r="AP42" s="365">
        <v>5690762.4000000004</v>
      </c>
      <c r="AQ42" s="368">
        <v>3132816.28</v>
      </c>
      <c r="AR42" s="369">
        <v>11953509.050000001</v>
      </c>
      <c r="AS42" s="367">
        <v>10450487.100000001</v>
      </c>
      <c r="AT42" s="369">
        <v>7257341.9199999981</v>
      </c>
      <c r="AU42" s="366">
        <v>3675247.14</v>
      </c>
      <c r="AV42" s="369">
        <v>19438453.440000001</v>
      </c>
      <c r="AW42" s="367">
        <v>14811037.510000002</v>
      </c>
      <c r="AX42" s="369">
        <v>9999591.7599999998</v>
      </c>
      <c r="AY42" s="366">
        <v>4682279.0500000007</v>
      </c>
      <c r="AZ42" s="369">
        <v>21851076.930000003</v>
      </c>
      <c r="BA42" s="367">
        <v>13097000</v>
      </c>
      <c r="BB42" s="369">
        <v>8859000</v>
      </c>
      <c r="BC42" s="367">
        <v>4139000</v>
      </c>
      <c r="BD42" s="110"/>
    </row>
    <row r="43" spans="1:56" ht="27.9" customHeight="1">
      <c r="A43" s="144" t="s">
        <v>108</v>
      </c>
      <c r="B43" s="213">
        <f>2536.5+23137525.66</f>
        <v>23140062.16</v>
      </c>
      <c r="C43" s="80">
        <f>1446.1+12889532.88</f>
        <v>12890978.98</v>
      </c>
      <c r="D43" s="213">
        <f>69364.96+37099363.54</f>
        <v>37168728.5</v>
      </c>
      <c r="E43" s="79">
        <f>67205.2+26863101.45</f>
        <v>26930306.649999999</v>
      </c>
      <c r="F43" s="213">
        <f>67205.2+18209835.19</f>
        <v>18277040.390000001</v>
      </c>
      <c r="G43" s="80">
        <f>28627+9139479.43</f>
        <v>9168106.4299999997</v>
      </c>
      <c r="H43" s="213">
        <f>136012.6+25207523.2</f>
        <v>25343535.800000001</v>
      </c>
      <c r="I43" s="79">
        <v>18335176.350000001</v>
      </c>
      <c r="J43" s="213">
        <f>61037.94+11920147.54</f>
        <v>11981185.479999999</v>
      </c>
      <c r="K43" s="80">
        <f>61037.94+5669290.96</f>
        <v>5730328.9000000004</v>
      </c>
      <c r="L43" s="213">
        <f>3720.7+27138827.51</f>
        <v>27142548.210000001</v>
      </c>
      <c r="M43" s="79">
        <f>21868975.26+3643.28</f>
        <v>21872618.540000003</v>
      </c>
      <c r="N43" s="213">
        <f>2218.28+14160073.55</f>
        <v>14162291.83</v>
      </c>
      <c r="O43" s="80">
        <f>35+7457461.58</f>
        <v>7457496.5800000001</v>
      </c>
      <c r="P43" s="213">
        <f>21676587.36+29682.2</f>
        <v>21706269.559999999</v>
      </c>
      <c r="Q43" s="79">
        <f>49540.22+16011779.76</f>
        <v>16061319.98</v>
      </c>
      <c r="R43" s="213">
        <f>10730499.99-7554.8</f>
        <v>10722945.189999999</v>
      </c>
      <c r="S43" s="80">
        <f>29682.2+5460232.61</f>
        <v>5489914.8100000005</v>
      </c>
      <c r="T43" s="213">
        <f>238815.51+20734887.34</f>
        <v>20973702.850000001</v>
      </c>
      <c r="U43" s="79">
        <f>116237.91+15304631.64</f>
        <v>15420869.550000001</v>
      </c>
      <c r="V43" s="213">
        <f>116237.91+10190745.11</f>
        <v>10306983.02</v>
      </c>
      <c r="W43" s="80">
        <f>96507.91+6176390.06</f>
        <v>6272897.9699999997</v>
      </c>
      <c r="X43" s="213">
        <f>229283.49+21783860.37</f>
        <v>22013143.859999999</v>
      </c>
      <c r="Y43" s="79">
        <f>225118.49+16198264.44</f>
        <v>16423382.93</v>
      </c>
      <c r="Z43" s="213">
        <f>223099.23+11147891.98</f>
        <v>11370991.210000001</v>
      </c>
      <c r="AA43" s="80">
        <f>5701978.81+163389.65</f>
        <v>5865368.46</v>
      </c>
      <c r="AB43" s="213">
        <v>23765162.219999999</v>
      </c>
      <c r="AC43" s="79">
        <f>17507705.39+634958.05</f>
        <v>18142663.440000001</v>
      </c>
      <c r="AD43" s="213">
        <f>12539930.55+358735.2</f>
        <v>12898665.75</v>
      </c>
      <c r="AE43" s="80">
        <v>7088714.8399999999</v>
      </c>
      <c r="AF43" s="213">
        <v>21200621.77</v>
      </c>
      <c r="AG43" s="79">
        <v>14359492.560000001</v>
      </c>
      <c r="AH43" s="213">
        <v>9388775.7799999993</v>
      </c>
      <c r="AI43" s="80">
        <v>4626092.4700000016</v>
      </c>
      <c r="AJ43" s="213">
        <v>16077345.029999997</v>
      </c>
      <c r="AK43" s="79">
        <v>11089156.59</v>
      </c>
      <c r="AL43" s="213">
        <v>7485576.0999999996</v>
      </c>
      <c r="AM43" s="80">
        <v>3684722.17</v>
      </c>
      <c r="AN43" s="213">
        <v>12263422.869999999</v>
      </c>
      <c r="AO43" s="79">
        <v>11685520.74</v>
      </c>
      <c r="AP43" s="213">
        <v>5759182.2000000002</v>
      </c>
      <c r="AQ43" s="211">
        <v>3889181.71</v>
      </c>
      <c r="AR43" s="78">
        <v>10832664.92</v>
      </c>
      <c r="AS43" s="79">
        <v>7323565.6699999999</v>
      </c>
      <c r="AT43" s="78">
        <v>4818082.8900000006</v>
      </c>
      <c r="AU43" s="80">
        <v>2379861.4699999997</v>
      </c>
      <c r="AV43" s="78">
        <v>5552580.5699999984</v>
      </c>
      <c r="AW43" s="79">
        <v>4124046.11</v>
      </c>
      <c r="AX43" s="78">
        <v>3985585.9400000004</v>
      </c>
      <c r="AY43" s="80">
        <v>2056945.71</v>
      </c>
      <c r="AZ43" s="78">
        <v>7516722.6500000004</v>
      </c>
      <c r="BA43" s="79">
        <v>8099000</v>
      </c>
      <c r="BB43" s="78">
        <v>3937000</v>
      </c>
      <c r="BC43" s="79">
        <v>2828000</v>
      </c>
      <c r="BD43" s="110"/>
    </row>
    <row r="44" spans="1:56" ht="27.9" customHeight="1">
      <c r="A44" s="145" t="s">
        <v>109</v>
      </c>
      <c r="B44" s="214">
        <f t="shared" ref="B44" si="83">SUM(B42:B43)</f>
        <v>28973988.759999998</v>
      </c>
      <c r="C44" s="83">
        <f t="shared" ref="C44" si="84">SUM(C42:C43)</f>
        <v>15793847.76</v>
      </c>
      <c r="D44" s="214">
        <f t="shared" ref="D44" si="85">SUM(D42:D43)</f>
        <v>49440322.439999998</v>
      </c>
      <c r="E44" s="82">
        <f t="shared" ref="E44" si="86">SUM(E42:E43)</f>
        <v>37193053.259999998</v>
      </c>
      <c r="F44" s="214">
        <f t="shared" ref="F44" si="87">SUM(F42:F43)</f>
        <v>25840639.539999999</v>
      </c>
      <c r="G44" s="83">
        <f t="shared" ref="G44" si="88">SUM(G42:G43)</f>
        <v>13105589.309999999</v>
      </c>
      <c r="H44" s="214">
        <f t="shared" ref="H44" si="89">SUM(H42:H43)</f>
        <v>42070668.870000005</v>
      </c>
      <c r="I44" s="82">
        <f t="shared" ref="I44" si="90">SUM(I42:I43)</f>
        <v>27867770.380000003</v>
      </c>
      <c r="J44" s="214">
        <f t="shared" ref="J44" si="91">SUM(J42:J43)</f>
        <v>19636424.890000001</v>
      </c>
      <c r="K44" s="83">
        <f t="shared" ref="K44" si="92">SUM(K42:K43)</f>
        <v>9806381.3900000006</v>
      </c>
      <c r="L44" s="214">
        <f t="shared" ref="L44" si="93">SUM(L42:L43)</f>
        <v>43793408.410000004</v>
      </c>
      <c r="M44" s="82">
        <f t="shared" ref="M44" si="94">SUM(M42:M43)</f>
        <v>32115153.020000003</v>
      </c>
      <c r="N44" s="214">
        <f t="shared" ref="N44" si="95">SUM(N42:N43)</f>
        <v>20724474.390000001</v>
      </c>
      <c r="O44" s="83">
        <f t="shared" ref="O44" si="96">SUM(O42:O43)</f>
        <v>10350888.32</v>
      </c>
      <c r="P44" s="214">
        <f t="shared" ref="P44" si="97">SUM(P42:P43)</f>
        <v>33415594.939999998</v>
      </c>
      <c r="Q44" s="82">
        <f t="shared" ref="Q44" si="98">SUM(Q42:Q43)</f>
        <v>24260928.890000001</v>
      </c>
      <c r="R44" s="214">
        <f t="shared" ref="R44" si="99">SUM(R42:R43)</f>
        <v>16417515.58</v>
      </c>
      <c r="S44" s="83">
        <f t="shared" ref="S44" si="100">SUM(S42:S43)</f>
        <v>8283028.290000001</v>
      </c>
      <c r="T44" s="214">
        <f t="shared" ref="T44" si="101">SUM(T42:T43)</f>
        <v>29661149.590000004</v>
      </c>
      <c r="U44" s="82">
        <f t="shared" ref="U44" si="102">SUM(U42:U43)</f>
        <v>21682554.039999999</v>
      </c>
      <c r="V44" s="214">
        <f t="shared" ref="V44" si="103">SUM(V42:V43)</f>
        <v>14764449.379999999</v>
      </c>
      <c r="W44" s="83">
        <f t="shared" ref="W44" si="104">SUM(W42:W43)</f>
        <v>8777091.2899999991</v>
      </c>
      <c r="X44" s="214">
        <f t="shared" ref="X44" si="105">SUM(X42:X43)</f>
        <v>31940893.009999998</v>
      </c>
      <c r="Y44" s="82">
        <f t="shared" ref="Y44" si="106">SUM(Y42:Y43)</f>
        <v>24201018.390000001</v>
      </c>
      <c r="Z44" s="214">
        <f t="shared" ref="Z44:AE44" si="107">SUM(Z42:Z43)</f>
        <v>17107923.640000001</v>
      </c>
      <c r="AA44" s="83">
        <f t="shared" si="107"/>
        <v>8368855.29</v>
      </c>
      <c r="AB44" s="214">
        <f t="shared" si="107"/>
        <v>33688388.43</v>
      </c>
      <c r="AC44" s="82">
        <f t="shared" si="107"/>
        <v>25960077.080000002</v>
      </c>
      <c r="AD44" s="214">
        <f t="shared" si="107"/>
        <v>19989346.869999997</v>
      </c>
      <c r="AE44" s="83">
        <f t="shared" si="107"/>
        <v>9574536.6400000006</v>
      </c>
      <c r="AF44" s="214">
        <f>AF42+AF43</f>
        <v>31846260.690000005</v>
      </c>
      <c r="AG44" s="82">
        <f>SUM(AG42:AG43)</f>
        <v>23405143.940000005</v>
      </c>
      <c r="AH44" s="214">
        <f>AH42+AH43</f>
        <v>14859045.109999999</v>
      </c>
      <c r="AI44" s="83">
        <f>SUM(AI42:AI43)</f>
        <v>6989678.5000000019</v>
      </c>
      <c r="AJ44" s="214">
        <f>AJ42+AJ43</f>
        <v>26753650.879999999</v>
      </c>
      <c r="AK44" s="82">
        <f>SUM(AK42:AK43)</f>
        <v>18599234.420000002</v>
      </c>
      <c r="AL44" s="214">
        <f>AL42+AL43</f>
        <v>12968625.51</v>
      </c>
      <c r="AM44" s="83">
        <f>SUM(AM42:AM43)</f>
        <v>6597292.7999999998</v>
      </c>
      <c r="AN44" s="214">
        <f>AN42+AN43</f>
        <v>25049607.609999999</v>
      </c>
      <c r="AO44" s="82">
        <f>SUM(AO42:AO43)</f>
        <v>19259314.449999999</v>
      </c>
      <c r="AP44" s="214">
        <f>AP42+AP43</f>
        <v>11449944.600000001</v>
      </c>
      <c r="AQ44" s="83">
        <v>7021997.9900000002</v>
      </c>
      <c r="AR44" s="81">
        <v>22786173.969999999</v>
      </c>
      <c r="AS44" s="82">
        <v>17774052.770000003</v>
      </c>
      <c r="AT44" s="81">
        <v>12075424.809999999</v>
      </c>
      <c r="AU44" s="83">
        <v>6055108.6099999994</v>
      </c>
      <c r="AV44" s="81">
        <v>24991034.009999998</v>
      </c>
      <c r="AW44" s="82">
        <v>18935083.620000001</v>
      </c>
      <c r="AX44" s="81">
        <v>13985177.699999999</v>
      </c>
      <c r="AY44" s="83">
        <v>6739224.7600000007</v>
      </c>
      <c r="AZ44" s="81">
        <v>29367799.580000006</v>
      </c>
      <c r="BA44" s="82">
        <v>21196000</v>
      </c>
      <c r="BB44" s="81">
        <v>12796000</v>
      </c>
      <c r="BC44" s="82">
        <v>6967000</v>
      </c>
      <c r="BD44" s="110"/>
    </row>
    <row r="45" spans="1:56" ht="27.9" customHeight="1">
      <c r="A45" s="144"/>
      <c r="B45" s="213"/>
      <c r="C45" s="80"/>
      <c r="D45" s="213"/>
      <c r="E45" s="79"/>
      <c r="F45" s="213"/>
      <c r="G45" s="80"/>
      <c r="H45" s="213"/>
      <c r="I45" s="79"/>
      <c r="J45" s="213"/>
      <c r="K45" s="80"/>
      <c r="L45" s="213"/>
      <c r="M45" s="79"/>
      <c r="N45" s="213"/>
      <c r="O45" s="80"/>
      <c r="P45" s="213"/>
      <c r="Q45" s="79"/>
      <c r="R45" s="213"/>
      <c r="S45" s="80"/>
      <c r="T45" s="213"/>
      <c r="U45" s="79"/>
      <c r="V45" s="213"/>
      <c r="W45" s="80"/>
      <c r="X45" s="213"/>
      <c r="Y45" s="79"/>
      <c r="Z45" s="213"/>
      <c r="AA45" s="80"/>
      <c r="AB45" s="213"/>
      <c r="AC45" s="79"/>
      <c r="AD45" s="213"/>
      <c r="AE45" s="80"/>
      <c r="AF45" s="213"/>
      <c r="AG45" s="79"/>
      <c r="AH45" s="213"/>
      <c r="AI45" s="80"/>
      <c r="AJ45" s="213"/>
      <c r="AK45" s="79"/>
      <c r="AL45" s="213"/>
      <c r="AM45" s="80"/>
      <c r="AN45" s="213"/>
      <c r="AO45" s="79"/>
      <c r="AP45" s="213"/>
      <c r="AQ45" s="83"/>
      <c r="AR45" s="78"/>
      <c r="AS45" s="79"/>
      <c r="AT45" s="78"/>
      <c r="AU45" s="80"/>
      <c r="AV45" s="78"/>
      <c r="AW45" s="79"/>
      <c r="AX45" s="78"/>
      <c r="AY45" s="80"/>
      <c r="AZ45" s="78"/>
      <c r="BA45" s="79"/>
      <c r="BB45" s="78"/>
      <c r="BC45" s="79"/>
      <c r="BD45" s="110"/>
    </row>
    <row r="46" spans="1:56" ht="27.9" customHeight="1">
      <c r="A46" s="145" t="s">
        <v>110</v>
      </c>
      <c r="B46" s="214">
        <f>1118400.18+24627640.28</f>
        <v>25746040.460000001</v>
      </c>
      <c r="C46" s="83">
        <f>661054.96+13617348.24</f>
        <v>14278403.199999999</v>
      </c>
      <c r="D46" s="214">
        <v>44307923.920000002</v>
      </c>
      <c r="E46" s="82">
        <v>33663032.380000003</v>
      </c>
      <c r="F46" s="214">
        <v>23791180.259999998</v>
      </c>
      <c r="G46" s="83">
        <v>11862572.809999999</v>
      </c>
      <c r="H46" s="214">
        <v>40503914.310000002</v>
      </c>
      <c r="I46" s="82">
        <v>28724579.579999998</v>
      </c>
      <c r="J46" s="214">
        <v>21920204.129999999</v>
      </c>
      <c r="K46" s="83">
        <v>10844302.640000001</v>
      </c>
      <c r="L46" s="214">
        <v>44104304.689999998</v>
      </c>
      <c r="M46" s="82">
        <v>32432162.029999997</v>
      </c>
      <c r="N46" s="214">
        <v>20725178.02</v>
      </c>
      <c r="O46" s="83">
        <v>10278436.51</v>
      </c>
      <c r="P46" s="214">
        <v>32925298.709999997</v>
      </c>
      <c r="Q46" s="82">
        <v>27707884.25</v>
      </c>
      <c r="R46" s="214">
        <v>18502498.870000001</v>
      </c>
      <c r="S46" s="83">
        <v>9286933.5500000007</v>
      </c>
      <c r="T46" s="214">
        <v>28070595.84</v>
      </c>
      <c r="U46" s="82">
        <v>21350246.869999997</v>
      </c>
      <c r="V46" s="214">
        <v>15162065.82</v>
      </c>
      <c r="W46" s="83">
        <v>10188882.32</v>
      </c>
      <c r="X46" s="214">
        <v>29220471.07</v>
      </c>
      <c r="Y46" s="82">
        <v>23369906.369999997</v>
      </c>
      <c r="Z46" s="214">
        <v>16393573.169999998</v>
      </c>
      <c r="AA46" s="83">
        <v>7917222.3800000008</v>
      </c>
      <c r="AB46" s="214">
        <v>33058695.990000002</v>
      </c>
      <c r="AC46" s="82">
        <v>27683421.610000003</v>
      </c>
      <c r="AD46" s="214">
        <v>20325731.16</v>
      </c>
      <c r="AE46" s="83">
        <v>9342617.2699855063</v>
      </c>
      <c r="AF46" s="214">
        <v>31019190.257552266</v>
      </c>
      <c r="AG46" s="82">
        <v>22932516.768616814</v>
      </c>
      <c r="AH46" s="214">
        <v>14774271.588644449</v>
      </c>
      <c r="AI46" s="83">
        <v>6834774.3765075067</v>
      </c>
      <c r="AJ46" s="214">
        <v>24398952.773705509</v>
      </c>
      <c r="AK46" s="82">
        <v>17017998.52796229</v>
      </c>
      <c r="AL46" s="214">
        <v>11871339.960000001</v>
      </c>
      <c r="AM46" s="83">
        <v>6037639.5800000001</v>
      </c>
      <c r="AN46" s="214">
        <v>22521138.689999998</v>
      </c>
      <c r="AO46" s="82">
        <v>16250801.329999998</v>
      </c>
      <c r="AP46" s="214">
        <v>9745104.1900000013</v>
      </c>
      <c r="AQ46" s="83">
        <v>6362827.7199999997</v>
      </c>
      <c r="AR46" s="81">
        <v>18115247.649999999</v>
      </c>
      <c r="AS46" s="82">
        <v>15116760.10076756</v>
      </c>
      <c r="AT46" s="81">
        <v>10242806.707147753</v>
      </c>
      <c r="AU46" s="83">
        <v>5354532.0397265488</v>
      </c>
      <c r="AV46" s="81">
        <v>21226765.260000002</v>
      </c>
      <c r="AW46" s="82">
        <v>15861361.701041127</v>
      </c>
      <c r="AX46" s="81">
        <v>10676718.036829744</v>
      </c>
      <c r="AY46" s="83">
        <v>5318978.9686739231</v>
      </c>
      <c r="AZ46" s="81">
        <v>26125612.24209499</v>
      </c>
      <c r="BA46" s="82">
        <v>22935000</v>
      </c>
      <c r="BB46" s="81">
        <v>14174000</v>
      </c>
      <c r="BC46" s="82">
        <v>7922000</v>
      </c>
      <c r="BD46" s="110"/>
    </row>
    <row r="47" spans="1:56" ht="27.9" customHeight="1">
      <c r="A47" s="144"/>
      <c r="B47" s="213"/>
      <c r="C47" s="80"/>
      <c r="D47" s="213"/>
      <c r="E47" s="79"/>
      <c r="F47" s="213"/>
      <c r="G47" s="80"/>
      <c r="H47" s="213"/>
      <c r="I47" s="79"/>
      <c r="J47" s="213"/>
      <c r="K47" s="80"/>
      <c r="L47" s="213"/>
      <c r="M47" s="79"/>
      <c r="N47" s="213"/>
      <c r="O47" s="80"/>
      <c r="P47" s="213"/>
      <c r="Q47" s="79"/>
      <c r="R47" s="213"/>
      <c r="S47" s="80"/>
      <c r="T47" s="213"/>
      <c r="U47" s="79"/>
      <c r="V47" s="213"/>
      <c r="W47" s="80"/>
      <c r="X47" s="213"/>
      <c r="Y47" s="79"/>
      <c r="Z47" s="213"/>
      <c r="AA47" s="80"/>
      <c r="AB47" s="213"/>
      <c r="AC47" s="79"/>
      <c r="AD47" s="213"/>
      <c r="AE47" s="80"/>
      <c r="AF47" s="213"/>
      <c r="AG47" s="79"/>
      <c r="AH47" s="213"/>
      <c r="AI47" s="80"/>
      <c r="AJ47" s="213"/>
      <c r="AK47" s="79"/>
      <c r="AL47" s="213"/>
      <c r="AM47" s="80"/>
      <c r="AN47" s="213"/>
      <c r="AO47" s="79"/>
      <c r="AP47" s="213"/>
      <c r="AQ47" s="83"/>
      <c r="AR47" s="78"/>
      <c r="AS47" s="79"/>
      <c r="AT47" s="78"/>
      <c r="AU47" s="80"/>
      <c r="AV47" s="78"/>
      <c r="AW47" s="79"/>
      <c r="AX47" s="78"/>
      <c r="AY47" s="80"/>
      <c r="AZ47" s="78"/>
      <c r="BA47" s="79"/>
      <c r="BB47" s="78"/>
      <c r="BC47" s="79"/>
      <c r="BD47" s="110"/>
    </row>
    <row r="48" spans="1:56" ht="27.9" customHeight="1">
      <c r="A48" s="145" t="s">
        <v>111</v>
      </c>
      <c r="B48" s="214">
        <f t="shared" ref="B48" si="108">B44-B46</f>
        <v>3227948.299999997</v>
      </c>
      <c r="C48" s="83">
        <f t="shared" ref="C48" si="109">C44-C46</f>
        <v>1515444.5600000005</v>
      </c>
      <c r="D48" s="214">
        <f t="shared" ref="D48:AP48" si="110">D44-D46</f>
        <v>5132398.5199999958</v>
      </c>
      <c r="E48" s="82">
        <f t="shared" si="110"/>
        <v>3530020.8799999952</v>
      </c>
      <c r="F48" s="214">
        <f t="shared" si="110"/>
        <v>2049459.2800000012</v>
      </c>
      <c r="G48" s="83">
        <f t="shared" si="110"/>
        <v>1243016.5</v>
      </c>
      <c r="H48" s="214">
        <f t="shared" si="110"/>
        <v>1566754.5600000024</v>
      </c>
      <c r="I48" s="82">
        <f t="shared" si="110"/>
        <v>-856809.19999999553</v>
      </c>
      <c r="J48" s="214">
        <f t="shared" si="110"/>
        <v>-2283779.2399999984</v>
      </c>
      <c r="K48" s="83">
        <f t="shared" si="110"/>
        <v>-1037921.25</v>
      </c>
      <c r="L48" s="214">
        <f t="shared" si="110"/>
        <v>-310896.27999999374</v>
      </c>
      <c r="M48" s="82">
        <f t="shared" si="110"/>
        <v>-317009.00999999419</v>
      </c>
      <c r="N48" s="214">
        <f t="shared" si="110"/>
        <v>-703.62999999895692</v>
      </c>
      <c r="O48" s="83">
        <f t="shared" si="110"/>
        <v>72451.810000000522</v>
      </c>
      <c r="P48" s="214">
        <f t="shared" si="110"/>
        <v>490296.23000000045</v>
      </c>
      <c r="Q48" s="82">
        <f t="shared" si="110"/>
        <v>-3446955.3599999994</v>
      </c>
      <c r="R48" s="214">
        <f t="shared" si="110"/>
        <v>-2084983.290000001</v>
      </c>
      <c r="S48" s="83">
        <f t="shared" si="110"/>
        <v>-1003905.2599999998</v>
      </c>
      <c r="T48" s="214">
        <f t="shared" si="110"/>
        <v>1590553.7500000037</v>
      </c>
      <c r="U48" s="82">
        <f t="shared" si="110"/>
        <v>332307.17000000179</v>
      </c>
      <c r="V48" s="214">
        <f t="shared" si="110"/>
        <v>-397616.44000000134</v>
      </c>
      <c r="W48" s="83">
        <f t="shared" si="110"/>
        <v>-1411791.0300000012</v>
      </c>
      <c r="X48" s="214">
        <f t="shared" si="110"/>
        <v>2720421.9399999976</v>
      </c>
      <c r="Y48" s="82">
        <f t="shared" si="110"/>
        <v>831112.02000000328</v>
      </c>
      <c r="Z48" s="214">
        <f t="shared" si="110"/>
        <v>714350.47000000253</v>
      </c>
      <c r="AA48" s="83">
        <f t="shared" si="110"/>
        <v>451632.90999999922</v>
      </c>
      <c r="AB48" s="214">
        <f t="shared" si="110"/>
        <v>629692.43999999762</v>
      </c>
      <c r="AC48" s="82">
        <f t="shared" si="110"/>
        <v>-1723344.5300000012</v>
      </c>
      <c r="AD48" s="214">
        <f t="shared" si="110"/>
        <v>-336384.29000000283</v>
      </c>
      <c r="AE48" s="83">
        <f t="shared" si="110"/>
        <v>231919.37001449428</v>
      </c>
      <c r="AF48" s="214">
        <f t="shared" si="110"/>
        <v>827070.43244773895</v>
      </c>
      <c r="AG48" s="82">
        <f t="shared" si="110"/>
        <v>472627.1713831909</v>
      </c>
      <c r="AH48" s="214">
        <f t="shared" si="110"/>
        <v>84773.521355550736</v>
      </c>
      <c r="AI48" s="83">
        <f t="shared" si="110"/>
        <v>154904.12349249516</v>
      </c>
      <c r="AJ48" s="214">
        <f t="shared" si="110"/>
        <v>2354698.1062944904</v>
      </c>
      <c r="AK48" s="82">
        <f t="shared" si="110"/>
        <v>1581235.892037712</v>
      </c>
      <c r="AL48" s="214">
        <f t="shared" si="110"/>
        <v>1097285.5499999989</v>
      </c>
      <c r="AM48" s="83">
        <f t="shared" si="110"/>
        <v>559653.21999999974</v>
      </c>
      <c r="AN48" s="214">
        <f t="shared" si="110"/>
        <v>2528468.9200000018</v>
      </c>
      <c r="AO48" s="82">
        <f t="shared" si="110"/>
        <v>3008513.120000001</v>
      </c>
      <c r="AP48" s="214">
        <f t="shared" si="110"/>
        <v>1704840.4100000001</v>
      </c>
      <c r="AQ48" s="83">
        <v>659170.27</v>
      </c>
      <c r="AR48" s="81">
        <v>4670926.32</v>
      </c>
      <c r="AS48" s="82">
        <v>2657292.669232443</v>
      </c>
      <c r="AT48" s="81">
        <v>1832618.1028522458</v>
      </c>
      <c r="AU48" s="83">
        <v>700576.57027345058</v>
      </c>
      <c r="AV48" s="81">
        <v>3764268.75</v>
      </c>
      <c r="AW48" s="82">
        <v>3073721.9189588744</v>
      </c>
      <c r="AX48" s="81">
        <v>3308459.6631702557</v>
      </c>
      <c r="AY48" s="83">
        <v>1420245.7913260777</v>
      </c>
      <c r="AZ48" s="81">
        <v>3242187.3379050158</v>
      </c>
      <c r="BA48" s="82">
        <v>-1739000</v>
      </c>
      <c r="BB48" s="81">
        <v>-1378000</v>
      </c>
      <c r="BC48" s="82">
        <v>-955000</v>
      </c>
      <c r="BD48" s="110"/>
    </row>
    <row r="49" spans="1:29" ht="42" customHeight="1">
      <c r="A49" s="110"/>
      <c r="B49" s="111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71"/>
      <c r="Q49" s="110"/>
      <c r="R49" s="9"/>
      <c r="S49" s="110"/>
      <c r="T49" s="111"/>
      <c r="U49" s="110"/>
      <c r="V49" s="110"/>
      <c r="W49" s="110"/>
      <c r="X49" s="111"/>
      <c r="Y49" s="110"/>
      <c r="Z49" s="110"/>
      <c r="AA49" s="110"/>
      <c r="AB49" s="110"/>
      <c r="AC49" s="110"/>
    </row>
    <row r="50" spans="1:29" ht="23.4">
      <c r="A50" s="110"/>
      <c r="B50" s="111"/>
      <c r="C50" s="111"/>
      <c r="D50" s="110"/>
      <c r="E50" s="110"/>
      <c r="F50" s="110"/>
      <c r="G50" s="110"/>
      <c r="H50" s="110"/>
      <c r="I50" s="110"/>
      <c r="J50" s="110"/>
      <c r="K50" s="110"/>
      <c r="L50" s="110"/>
      <c r="M50" s="171"/>
      <c r="N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9" ht="23.4">
      <c r="B51" s="111"/>
      <c r="D51" s="267"/>
      <c r="E51" s="267"/>
      <c r="F51" s="267"/>
      <c r="H51" s="267"/>
      <c r="I51" s="267"/>
      <c r="M51" s="171"/>
    </row>
    <row r="52" spans="1:29" ht="23.4">
      <c r="B52" s="111"/>
      <c r="C52" s="267"/>
      <c r="E52" s="267"/>
      <c r="F52" s="267"/>
      <c r="I52" s="267"/>
      <c r="J52" s="267"/>
      <c r="M52" s="171"/>
    </row>
    <row r="53" spans="1:29">
      <c r="E53" s="267"/>
      <c r="I53" s="267"/>
    </row>
  </sheetData>
  <mergeCells count="4">
    <mergeCell ref="I3:AD3"/>
    <mergeCell ref="W15:AR15"/>
    <mergeCell ref="W27:AR27"/>
    <mergeCell ref="V39:AQ39"/>
  </mergeCells>
  <pageMargins left="0.19685039370078741" right="0" top="0.19685039370078741" bottom="0.19685039370078741" header="0" footer="0"/>
  <pageSetup paperSize="9" scale="28" orientation="landscape" horizontalDpi="4294967293" verticalDpi="4294967293" r:id="rId1"/>
  <headerFooter>
    <oddFooter>&amp;RREDWOOD PR  
powered by PROFESCAPITAL</oddFooter>
  </headerFooter>
  <ignoredErrors>
    <ignoredError sqref="AI32:AO33 AI20:AO21 AI8:AO9 AI44:AP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BC182"/>
  <sheetViews>
    <sheetView showGridLines="0" topLeftCell="A34" zoomScale="60" zoomScaleNormal="60" zoomScaleSheetLayoutView="20" zoomScalePageLayoutView="50" workbookViewId="0">
      <pane xSplit="1" topLeftCell="B1" activePane="topRight" state="frozen"/>
      <selection activeCell="J51" sqref="J51"/>
      <selection pane="topRight" activeCell="B51" sqref="B51"/>
    </sheetView>
  </sheetViews>
  <sheetFormatPr defaultRowHeight="18"/>
  <cols>
    <col min="1" max="1" width="80.6640625" customWidth="1"/>
    <col min="2" max="2" width="25.33203125" customWidth="1"/>
    <col min="3" max="3" width="20.88671875" customWidth="1"/>
    <col min="4" max="4" width="20.5546875" customWidth="1"/>
    <col min="5" max="6" width="21.6640625" customWidth="1"/>
    <col min="7" max="7" width="20.88671875" customWidth="1"/>
    <col min="8" max="8" width="20.5546875" customWidth="1"/>
    <col min="9" max="10" width="21.6640625" customWidth="1"/>
    <col min="11" max="11" width="21.6640625" style="9" customWidth="1"/>
    <col min="12" max="12" width="21.6640625" customWidth="1"/>
    <col min="13" max="13" width="21.6640625" style="9" customWidth="1"/>
    <col min="14" max="30" width="21.6640625" customWidth="1"/>
  </cols>
  <sheetData>
    <row r="1" spans="1:55" ht="50.1" customHeight="1">
      <c r="A1" s="372" t="s">
        <v>152</v>
      </c>
      <c r="B1" s="372"/>
      <c r="C1" s="337"/>
      <c r="D1" s="372"/>
      <c r="E1" s="107"/>
      <c r="F1" s="107"/>
      <c r="G1" s="337"/>
      <c r="H1" s="372"/>
      <c r="I1" s="107"/>
      <c r="J1" s="107"/>
      <c r="K1" s="198"/>
      <c r="L1" s="107"/>
      <c r="M1" s="198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9"/>
      <c r="AA1" s="2"/>
      <c r="AB1" s="2"/>
      <c r="AC1" s="2"/>
      <c r="AD1" s="2"/>
    </row>
    <row r="2" spans="1:55" ht="27.9" customHeight="1"/>
    <row r="3" spans="1:55" ht="27.9" customHeight="1">
      <c r="A3" s="371" t="s">
        <v>146</v>
      </c>
      <c r="B3" s="371"/>
      <c r="C3" s="370"/>
      <c r="D3" s="371"/>
      <c r="E3" s="371"/>
      <c r="F3" s="371"/>
      <c r="G3" s="370"/>
      <c r="H3" s="371"/>
      <c r="I3" s="532" t="s">
        <v>139</v>
      </c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532"/>
      <c r="AB3" s="532"/>
      <c r="AC3" s="532"/>
      <c r="AD3" s="532"/>
    </row>
    <row r="4" spans="1:55" ht="27.9" customHeight="1">
      <c r="K4"/>
      <c r="O4" s="9"/>
      <c r="P4" s="129"/>
    </row>
    <row r="5" spans="1:55" ht="27.9" customHeight="1">
      <c r="A5" s="142"/>
      <c r="B5" s="216" t="s">
        <v>288</v>
      </c>
      <c r="C5" s="360" t="s">
        <v>286</v>
      </c>
      <c r="D5" s="216" t="s">
        <v>282</v>
      </c>
      <c r="E5" s="361" t="s">
        <v>281</v>
      </c>
      <c r="F5" s="216" t="s">
        <v>277</v>
      </c>
      <c r="G5" s="360" t="s">
        <v>275</v>
      </c>
      <c r="H5" s="216" t="s">
        <v>272</v>
      </c>
      <c r="I5" s="361" t="s">
        <v>271</v>
      </c>
      <c r="J5" s="216" t="s">
        <v>267</v>
      </c>
      <c r="K5" s="360" t="s">
        <v>265</v>
      </c>
      <c r="L5" s="216" t="s">
        <v>257</v>
      </c>
      <c r="M5" s="361" t="s">
        <v>253</v>
      </c>
      <c r="N5" s="216" t="s">
        <v>250</v>
      </c>
      <c r="O5" s="360" t="s">
        <v>248</v>
      </c>
      <c r="P5" s="216" t="s">
        <v>246</v>
      </c>
      <c r="Q5" s="361" t="s">
        <v>242</v>
      </c>
      <c r="R5" s="216" t="s">
        <v>240</v>
      </c>
      <c r="S5" s="360" t="s">
        <v>238</v>
      </c>
      <c r="T5" s="216" t="s">
        <v>236</v>
      </c>
      <c r="U5" s="361" t="s">
        <v>232</v>
      </c>
      <c r="V5" s="216" t="s">
        <v>228</v>
      </c>
      <c r="W5" s="360" t="s">
        <v>226</v>
      </c>
      <c r="X5" s="216" t="s">
        <v>221</v>
      </c>
      <c r="Y5" s="361" t="s">
        <v>219</v>
      </c>
      <c r="Z5" s="216" t="s">
        <v>215</v>
      </c>
      <c r="AA5" s="360" t="s">
        <v>213</v>
      </c>
      <c r="AB5" s="216" t="s">
        <v>209</v>
      </c>
      <c r="AC5" s="72" t="s">
        <v>207</v>
      </c>
      <c r="AD5" s="216" t="s">
        <v>204</v>
      </c>
      <c r="AE5" s="215" t="s">
        <v>202</v>
      </c>
      <c r="AF5" s="216" t="s">
        <v>200</v>
      </c>
      <c r="AG5" s="72" t="s">
        <v>199</v>
      </c>
      <c r="AH5" s="216" t="s">
        <v>193</v>
      </c>
      <c r="AI5" s="215" t="s">
        <v>190</v>
      </c>
      <c r="AJ5" s="216" t="s">
        <v>189</v>
      </c>
      <c r="AK5" s="72" t="s">
        <v>188</v>
      </c>
      <c r="AL5" s="216" t="s">
        <v>186</v>
      </c>
      <c r="AM5" s="215" t="s">
        <v>183</v>
      </c>
      <c r="AN5" s="230" t="s">
        <v>182</v>
      </c>
      <c r="AO5" s="72" t="s">
        <v>180</v>
      </c>
      <c r="AP5" s="216" t="s">
        <v>177</v>
      </c>
      <c r="AQ5" s="215" t="s">
        <v>155</v>
      </c>
      <c r="AR5" s="71" t="s">
        <v>116</v>
      </c>
      <c r="AS5" s="72" t="s">
        <v>25</v>
      </c>
      <c r="AT5" s="73" t="s">
        <v>26</v>
      </c>
      <c r="AU5" s="74" t="s">
        <v>16</v>
      </c>
      <c r="AV5" s="73" t="s">
        <v>27</v>
      </c>
      <c r="AW5" s="72" t="s">
        <v>28</v>
      </c>
      <c r="AX5" s="73" t="s">
        <v>29</v>
      </c>
      <c r="AY5" s="74" t="s">
        <v>20</v>
      </c>
      <c r="AZ5" s="73" t="s">
        <v>30</v>
      </c>
      <c r="BA5" s="72" t="s">
        <v>31</v>
      </c>
      <c r="BB5" s="73" t="s">
        <v>32</v>
      </c>
      <c r="BC5" s="72" t="s">
        <v>24</v>
      </c>
    </row>
    <row r="6" spans="1:55" ht="27.9" customHeight="1">
      <c r="A6" s="143" t="s">
        <v>112</v>
      </c>
      <c r="B6" s="217">
        <f>'SEGMENTY I'!B6-'SEGMENTY I'!C6</f>
        <v>34158755.310000002</v>
      </c>
      <c r="C6" s="366">
        <f>'SEGMENTY I'!C6</f>
        <v>29145608.93</v>
      </c>
      <c r="D6" s="217">
        <f>'SEGMENTY I'!D6-'SEGMENTY I'!E6</f>
        <v>29426999.219999999</v>
      </c>
      <c r="E6" s="79">
        <f>'SEGMENTY I'!E6-'SEGMENTY I'!F6</f>
        <v>35883929.530000009</v>
      </c>
      <c r="F6" s="217">
        <f>'SEGMENTY I'!F6-'SEGMENTY I'!G6</f>
        <v>26815745.959999997</v>
      </c>
      <c r="G6" s="366">
        <f>'SEGMENTY I'!G6</f>
        <v>29890439.41</v>
      </c>
      <c r="H6" s="217">
        <f>'SEGMENTY I'!H6-'SEGMENTY I'!I6</f>
        <v>30187612.429999992</v>
      </c>
      <c r="I6" s="79">
        <f>'SEGMENTY I'!I6-'SEGMENTY I'!J6</f>
        <v>28239664.930000007</v>
      </c>
      <c r="J6" s="217">
        <f>'SEGMENTY I'!J6-'SEGMENTY I'!K6</f>
        <v>21286835.489999998</v>
      </c>
      <c r="K6" s="366">
        <f>'SEGMENTY I'!K6</f>
        <v>18001793.09</v>
      </c>
      <c r="L6" s="217">
        <f>'SEGMENTY I'!L6-'SEGMENTY I'!M6</f>
        <v>25808322.629999995</v>
      </c>
      <c r="M6" s="79">
        <f>'SEGMENTY I'!M6-'SEGMENTY I'!N6</f>
        <v>31523278.890000001</v>
      </c>
      <c r="N6" s="217">
        <f>'SEGMENTY I'!N6-'SEGMENTY I'!O6</f>
        <v>33183464.66</v>
      </c>
      <c r="O6" s="366">
        <f>'SEGMENTY I'!O6</f>
        <v>33209951.23</v>
      </c>
      <c r="P6" s="217">
        <f>'SEGMENTY I'!P6-'SEGMENTY I'!Q6</f>
        <v>25600129.769999996</v>
      </c>
      <c r="Q6" s="79">
        <f>'SEGMENTY I'!Q6-'SEGMENTY I'!R6</f>
        <v>33102255.589999996</v>
      </c>
      <c r="R6" s="217">
        <f>'SEGMENTY I'!R6-'SEGMENTY I'!S6</f>
        <v>30863903.560000002</v>
      </c>
      <c r="S6" s="366">
        <f>'SEGMENTY I'!S6</f>
        <v>34266459.210000001</v>
      </c>
      <c r="T6" s="217">
        <f>'SEGMENTY I'!T6-'SEGMENTY I'!U6</f>
        <v>20103379.829999998</v>
      </c>
      <c r="U6" s="79">
        <f>'SEGMENTY I'!U6-'SEGMENTY I'!V6</f>
        <v>27705283.459999993</v>
      </c>
      <c r="V6" s="217">
        <f>'SEGMENTY I'!V6-'SEGMENTY I'!W6</f>
        <v>26414428.480000004</v>
      </c>
      <c r="W6" s="366">
        <f>'SEGMENTY I'!W6</f>
        <v>39017498.109999999</v>
      </c>
      <c r="X6" s="217">
        <f>'SEGMENTY I'!X6-'SEGMENTY I'!Y6</f>
        <v>34742077.170000002</v>
      </c>
      <c r="Y6" s="367">
        <f>'SEGMENTY I'!Y6-'SEGMENTY I'!Z6</f>
        <v>24459136.700000003</v>
      </c>
      <c r="Z6" s="217">
        <f>'SEGMENTY I'!Z6-'SEGMENTY I'!AA6</f>
        <v>28168562.289999999</v>
      </c>
      <c r="AA6" s="366">
        <v>22384403.07</v>
      </c>
      <c r="AB6" s="217">
        <f>'SEGMENTY I'!AB6-'SEGMENTY I'!AC6</f>
        <v>17522355.799999997</v>
      </c>
      <c r="AC6" s="219">
        <f>'SEGMENTY I'!AC6-'SEGMENTY I'!AD6</f>
        <v>19672193.870000005</v>
      </c>
      <c r="AD6" s="217">
        <f>'SEGMENTY I'!AD6-'SEGMENTY I'!AE6</f>
        <v>21844030.369999997</v>
      </c>
      <c r="AE6" s="77">
        <f>'SEGMENTY I'!AE6</f>
        <v>31806720.850000001</v>
      </c>
      <c r="AF6" s="217">
        <f>'SEGMENTY I'!AF6-'SEGMENTY I'!AG6</f>
        <v>20882445.399999991</v>
      </c>
      <c r="AG6" s="219">
        <f>'SEGMENTY I'!AG6-'SEGMENTY I'!AH6</f>
        <v>30952513.599999994</v>
      </c>
      <c r="AH6" s="217">
        <f>'SEGMENTY I'!AH6-'SEGMENTY I'!AI6</f>
        <v>23465786.500000007</v>
      </c>
      <c r="AI6" s="77">
        <f>'SEGMENTY I'!AI6</f>
        <v>22850969.990000002</v>
      </c>
      <c r="AJ6" s="217">
        <f>'SEGMENTY I'!AJ6-'SEGMENTY I'!AK6</f>
        <v>44951540.469999999</v>
      </c>
      <c r="AK6" s="219">
        <f>'SEGMENTY I'!AK6-'SEGMENTY I'!AL6</f>
        <v>23597743.109999992</v>
      </c>
      <c r="AL6" s="217">
        <f>'SEGMENTY I'!AL6-'SEGMENTY I'!AM6</f>
        <v>27898038.930000003</v>
      </c>
      <c r="AM6" s="77">
        <f>'SEGMENTY I'!AM6</f>
        <v>26067801.34</v>
      </c>
      <c r="AN6" s="231">
        <f>'SEGMENTY I'!AN6-'SEGMENTY I'!AO6</f>
        <v>22536469.620000005</v>
      </c>
      <c r="AO6" s="219">
        <f>'SEGMENTY I'!AO6-'SEGMENTY I'!AP6</f>
        <v>23069412.259999998</v>
      </c>
      <c r="AP6" s="217">
        <f>'SEGMENTY I'!AP6-'SEGMENTY I'!AQ6</f>
        <v>26485918.579999998</v>
      </c>
      <c r="AQ6" s="77">
        <v>25968984.649999999</v>
      </c>
      <c r="AR6" s="75">
        <f>'SEGMENTY I'!AR6-'SEGMENTY I'!AS6</f>
        <v>17207214.679999992</v>
      </c>
      <c r="AS6" s="76">
        <f>'SEGMENTY I'!AS6-'SEGMENTY I'!AT6</f>
        <v>27012713.410000019</v>
      </c>
      <c r="AT6" s="75">
        <f>'SEGMENTY I'!AT6-'SEGMENTY I'!AU6</f>
        <v>31752055.179999996</v>
      </c>
      <c r="AU6" s="77">
        <v>25304413.77</v>
      </c>
      <c r="AV6" s="75">
        <f>'SEGMENTY I'!AV6-'SEGMENTY I'!AW6</f>
        <v>14220693.75999999</v>
      </c>
      <c r="AW6" s="76">
        <f>'SEGMENTY I'!AW6-'SEGMENTY I'!AX6</f>
        <v>22160943.220000006</v>
      </c>
      <c r="AX6" s="75">
        <f>'SEGMENTY I'!AX6-'SEGMENTY I'!AY6</f>
        <v>26448635.890000004</v>
      </c>
      <c r="AY6" s="77">
        <v>22278309.289999995</v>
      </c>
      <c r="AZ6" s="75">
        <f>'SEGMENTY I'!AZ6-'SEGMENTY I'!BA6</f>
        <v>15809009.840000004</v>
      </c>
      <c r="BA6" s="76">
        <f>'SEGMENTY I'!BA6-'SEGMENTY I'!BB6</f>
        <v>18929000</v>
      </c>
      <c r="BB6" s="75">
        <f>'SEGMENTY I'!BB6-'SEGMENTY I'!BC6</f>
        <v>20497000</v>
      </c>
      <c r="BC6" s="76">
        <v>19061000</v>
      </c>
    </row>
    <row r="7" spans="1:55" ht="27.9" customHeight="1">
      <c r="A7" s="144" t="s">
        <v>108</v>
      </c>
      <c r="B7" s="213">
        <f>'SEGMENTY I'!B7-'SEGMENTY I'!C7</f>
        <v>17416093</v>
      </c>
      <c r="C7" s="80">
        <f>'SEGMENTY I'!C7</f>
        <v>11398982.470000001</v>
      </c>
      <c r="D7" s="213">
        <f>'SEGMENTY I'!D7-'SEGMENTY I'!E7</f>
        <v>23021637.709999993</v>
      </c>
      <c r="E7" s="79">
        <f>'SEGMENTY I'!E7-'SEGMENTY I'!F7</f>
        <v>36813842.210000001</v>
      </c>
      <c r="F7" s="213">
        <f>'SEGMENTY I'!F7-'SEGMENTY I'!G7</f>
        <v>4874669.9800000004</v>
      </c>
      <c r="G7" s="80">
        <f>'SEGMENTY I'!G7</f>
        <v>11667049.42</v>
      </c>
      <c r="H7" s="213">
        <f>'SEGMENTY I'!H7-'SEGMENTY I'!I7</f>
        <v>4310581.9600000009</v>
      </c>
      <c r="I7" s="79">
        <f>'SEGMENTY I'!I7-'SEGMENTY I'!J7</f>
        <v>5364601.8100000005</v>
      </c>
      <c r="J7" s="213">
        <f>'SEGMENTY I'!J7-'SEGMENTY I'!K7</f>
        <v>4797580.3600000003</v>
      </c>
      <c r="K7" s="80">
        <f>'SEGMENTY I'!K7</f>
        <v>6275937.54</v>
      </c>
      <c r="L7" s="213">
        <f>'SEGMENTY I'!L7-'SEGMENTY I'!M7</f>
        <v>4331747.18</v>
      </c>
      <c r="M7" s="79">
        <f>'SEGMENTY I'!M7-'SEGMENTY I'!N7</f>
        <v>3224387.6899999995</v>
      </c>
      <c r="N7" s="213">
        <f>'SEGMENTY I'!N7-'SEGMENTY I'!O7</f>
        <v>2612631.4300000006</v>
      </c>
      <c r="O7" s="80">
        <f>'SEGMENTY I'!O7</f>
        <v>6117317.2999999998</v>
      </c>
      <c r="P7" s="213">
        <f>'SEGMENTY I'!P7-'SEGMENTY I'!Q7</f>
        <v>5974076.4199999999</v>
      </c>
      <c r="Q7" s="79">
        <f>'SEGMENTY I'!Q7-'SEGMENTY I'!R7</f>
        <v>2705861.95</v>
      </c>
      <c r="R7" s="213">
        <f>'SEGMENTY I'!R7-'SEGMENTY I'!S7</f>
        <v>2360401.65</v>
      </c>
      <c r="S7" s="80">
        <f>'SEGMENTY I'!S7</f>
        <v>3895475.14</v>
      </c>
      <c r="T7" s="213">
        <f>'SEGMENTY I'!T7-'SEGMENTY I'!U7</f>
        <v>1978926.67</v>
      </c>
      <c r="U7" s="79">
        <f>'SEGMENTY I'!U7-'SEGMENTY I'!V7</f>
        <v>701816.04999999981</v>
      </c>
      <c r="V7" s="213">
        <f>'SEGMENTY I'!V7-'SEGMENTY I'!W7</f>
        <v>1705642.6399999997</v>
      </c>
      <c r="W7" s="80">
        <f>'SEGMENTY I'!W7</f>
        <v>4317584.57</v>
      </c>
      <c r="X7" s="213">
        <f>'SEGMENTY I'!X7-'SEGMENTY I'!Y7</f>
        <v>3947161.75</v>
      </c>
      <c r="Y7" s="79">
        <f>'SEGMENTY I'!Y7-'SEGMENTY I'!Z7</f>
        <v>1324501.4400000004</v>
      </c>
      <c r="Z7" s="213">
        <f>'SEGMENTY I'!Z7-'SEGMENTY I'!AA7</f>
        <v>2711330.08</v>
      </c>
      <c r="AA7" s="80">
        <v>5456447.8799999999</v>
      </c>
      <c r="AB7" s="213">
        <f>'SEGMENTY I'!AB7-'SEGMENTY I'!AC7</f>
        <v>2042978.4700000007</v>
      </c>
      <c r="AC7" s="79">
        <f>'SEGMENTY I'!AC7-'SEGMENTY I'!AD7</f>
        <v>2083437.2299999995</v>
      </c>
      <c r="AD7" s="213">
        <f>'SEGMENTY I'!AD7-'SEGMENTY I'!AE7</f>
        <v>2571107.9900000002</v>
      </c>
      <c r="AE7" s="80">
        <f>'SEGMENTY I'!AE7</f>
        <v>5749676.29</v>
      </c>
      <c r="AF7" s="213">
        <f>'SEGMENTY I'!AF7-'SEGMENTY I'!AG7</f>
        <v>2817527.3100000005</v>
      </c>
      <c r="AG7" s="79">
        <f>'SEGMENTY I'!AG7-'SEGMENTY I'!AH7</f>
        <v>1564328.0500000026</v>
      </c>
      <c r="AH7" s="213">
        <f>'SEGMENTY I'!AH7-'SEGMENTY I'!AI7</f>
        <v>3428182.339999998</v>
      </c>
      <c r="AI7" s="80">
        <f>'SEGMENTY I'!AI7</f>
        <v>5988537.9600000009</v>
      </c>
      <c r="AJ7" s="213">
        <f>'SEGMENTY I'!AJ7-'SEGMENTY I'!AK7</f>
        <v>2354366.8300000029</v>
      </c>
      <c r="AK7" s="79">
        <f>'SEGMENTY I'!AK7-'SEGMENTY I'!AL7</f>
        <v>-1813208.0600000015</v>
      </c>
      <c r="AL7" s="213">
        <f>'SEGMENTY I'!AL7-'SEGMENTY I'!AM7</f>
        <v>3803934.8100000005</v>
      </c>
      <c r="AM7" s="80">
        <f>'SEGMENTY I'!AM7</f>
        <v>5303475.01</v>
      </c>
      <c r="AN7" s="231">
        <f>'SEGMENTY I'!AN7-'SEGMENTY I'!AO7</f>
        <v>6463159.8100000024</v>
      </c>
      <c r="AO7" s="79">
        <f>'SEGMENTY I'!AO7-'SEGMENTY I'!AP7</f>
        <v>197973.93999999948</v>
      </c>
      <c r="AP7" s="213">
        <f>'SEGMENTY I'!AP7-'SEGMENTY I'!AQ7</f>
        <v>5801453.1699999999</v>
      </c>
      <c r="AQ7" s="80">
        <v>5453653.1799999997</v>
      </c>
      <c r="AR7" s="78">
        <f>'SEGMENTY I'!AR7-'SEGMENTY I'!AS7</f>
        <v>2840068.6900000013</v>
      </c>
      <c r="AS7" s="79">
        <f>'SEGMENTY I'!AS7-'SEGMENTY I'!AT7</f>
        <v>1459904.6599999964</v>
      </c>
      <c r="AT7" s="78">
        <f>'SEGMENTY I'!AT7-'SEGMENTY I'!AU7</f>
        <v>4051656.8</v>
      </c>
      <c r="AU7" s="80">
        <v>6008348.9700000016</v>
      </c>
      <c r="AV7" s="78">
        <f>'SEGMENTY I'!AV7-'SEGMENTY I'!AW7</f>
        <v>8130385.3000000007</v>
      </c>
      <c r="AW7" s="79">
        <f>'SEGMENTY I'!AW7-'SEGMENTY I'!AX7</f>
        <v>1970959.4800000004</v>
      </c>
      <c r="AX7" s="78">
        <f>'SEGMENTY I'!AX7-'SEGMENTY I'!AY7</f>
        <v>4596444.7</v>
      </c>
      <c r="AY7" s="80">
        <v>6950021.9799999995</v>
      </c>
      <c r="AZ7" s="78">
        <f>'SEGMENTY I'!AZ7-'SEGMENTY I'!BA7</f>
        <v>5044597</v>
      </c>
      <c r="BA7" s="79">
        <f>'SEGMENTY I'!BA7-'SEGMENTY I'!BB7</f>
        <v>1661000</v>
      </c>
      <c r="BB7" s="78">
        <f>'SEGMENTY I'!BB7-'SEGMENTY I'!BC7</f>
        <v>5003000</v>
      </c>
      <c r="BC7" s="79">
        <v>9023000</v>
      </c>
    </row>
    <row r="8" spans="1:55" ht="27.9" customHeight="1">
      <c r="A8" s="145" t="s">
        <v>109</v>
      </c>
      <c r="B8" s="214">
        <f>SUM(B6:B7)</f>
        <v>51574848.310000002</v>
      </c>
      <c r="C8" s="83">
        <f t="shared" ref="C8" si="0">SUM(C6:C7)</f>
        <v>40544591.399999999</v>
      </c>
      <c r="D8" s="214">
        <f>SUM(D6:D7)</f>
        <v>52448636.929999992</v>
      </c>
      <c r="E8" s="218">
        <f t="shared" ref="E8" si="1">SUM(E6:E7)</f>
        <v>72697771.74000001</v>
      </c>
      <c r="F8" s="214">
        <f t="shared" ref="F8" si="2">SUM(F6:F7)</f>
        <v>31690415.939999998</v>
      </c>
      <c r="G8" s="83">
        <f t="shared" ref="G8" si="3">SUM(G6:G7)</f>
        <v>41557488.829999998</v>
      </c>
      <c r="H8" s="214">
        <f>SUM(H6:H7)</f>
        <v>34498194.389999993</v>
      </c>
      <c r="I8" s="218">
        <f t="shared" ref="I8" si="4">SUM(I6:I7)</f>
        <v>33604266.74000001</v>
      </c>
      <c r="J8" s="214">
        <f t="shared" ref="J8" si="5">SUM(J6:J7)</f>
        <v>26084415.849999998</v>
      </c>
      <c r="K8" s="83">
        <f t="shared" ref="K8" si="6">SUM(K6:K7)</f>
        <v>24277730.629999999</v>
      </c>
      <c r="L8" s="214">
        <f>SUM(L6:L7)</f>
        <v>30140069.809999995</v>
      </c>
      <c r="M8" s="218">
        <f t="shared" ref="M8" si="7">SUM(M6:M7)</f>
        <v>34747666.579999998</v>
      </c>
      <c r="N8" s="214">
        <f t="shared" ref="N8" si="8">SUM(N6:N7)</f>
        <v>35796096.090000004</v>
      </c>
      <c r="O8" s="83">
        <f t="shared" ref="O8" si="9">SUM(O6:O7)</f>
        <v>39327268.530000001</v>
      </c>
      <c r="P8" s="214">
        <f>SUM(P6:P7)</f>
        <v>31574206.189999998</v>
      </c>
      <c r="Q8" s="218">
        <f t="shared" ref="Q8" si="10">SUM(Q6:Q7)</f>
        <v>35808117.539999999</v>
      </c>
      <c r="R8" s="214">
        <f t="shared" ref="R8" si="11">SUM(R6:R7)</f>
        <v>33224305.210000001</v>
      </c>
      <c r="S8" s="83">
        <f t="shared" ref="S8" si="12">SUM(S6:S7)</f>
        <v>38161934.350000001</v>
      </c>
      <c r="T8" s="214">
        <f t="shared" ref="T8" si="13">SUM(T6:T7)</f>
        <v>22082306.5</v>
      </c>
      <c r="U8" s="218">
        <f t="shared" ref="U8" si="14">SUM(U6:U7)</f>
        <v>28407099.509999994</v>
      </c>
      <c r="V8" s="214">
        <f t="shared" ref="V8:AA8" si="15">SUM(V6:V7)</f>
        <v>28120071.120000005</v>
      </c>
      <c r="W8" s="83">
        <f t="shared" si="15"/>
        <v>43335082.68</v>
      </c>
      <c r="X8" s="214">
        <f t="shared" si="15"/>
        <v>38689238.920000002</v>
      </c>
      <c r="Y8" s="82">
        <f t="shared" si="15"/>
        <v>25783638.140000004</v>
      </c>
      <c r="Z8" s="214">
        <f t="shared" si="15"/>
        <v>30879892.369999997</v>
      </c>
      <c r="AA8" s="83">
        <f t="shared" si="15"/>
        <v>27840850.949999999</v>
      </c>
      <c r="AB8" s="214">
        <f t="shared" ref="AB8:AC8" si="16">SUM(AB6:AB7)</f>
        <v>19565334.269999996</v>
      </c>
      <c r="AC8" s="218">
        <f t="shared" si="16"/>
        <v>21755631.100000005</v>
      </c>
      <c r="AD8" s="214">
        <f>SUM(AD6:AD7)</f>
        <v>24415138.359999999</v>
      </c>
      <c r="AE8" s="83">
        <f>SUM(AE6:AE7)</f>
        <v>37556397.140000001</v>
      </c>
      <c r="AF8" s="214">
        <f>AF6+AF7</f>
        <v>23699972.709999993</v>
      </c>
      <c r="AG8" s="218">
        <f>SUM(AG6:AG7)</f>
        <v>32516841.649999999</v>
      </c>
      <c r="AH8" s="214">
        <f>AH6+AH7</f>
        <v>26893968.840000004</v>
      </c>
      <c r="AI8" s="83">
        <f>SUM(AI6:AI7)</f>
        <v>28839507.950000003</v>
      </c>
      <c r="AJ8" s="214">
        <f>AJ6+AJ7</f>
        <v>47305907.300000004</v>
      </c>
      <c r="AK8" s="218">
        <f>SUM(AK6:AK7)</f>
        <v>21784535.04999999</v>
      </c>
      <c r="AL8" s="214">
        <f>AL6+AL7</f>
        <v>31701973.740000002</v>
      </c>
      <c r="AM8" s="83">
        <f>SUM(AM6:AM7)</f>
        <v>31371276.350000001</v>
      </c>
      <c r="AN8" s="232">
        <f>AN6+AN7</f>
        <v>28999629.430000007</v>
      </c>
      <c r="AO8" s="218">
        <f>SUM(AO6:AO7)</f>
        <v>23267386.199999996</v>
      </c>
      <c r="AP8" s="214">
        <f>AP6+AP7</f>
        <v>32287371.75</v>
      </c>
      <c r="AQ8" s="83">
        <v>31422637.829999998</v>
      </c>
      <c r="AR8" s="78">
        <f>'SEGMENTY I'!AR8-'SEGMENTY I'!AS8</f>
        <v>20047283.36999999</v>
      </c>
      <c r="AS8" s="79">
        <f>'SEGMENTY I'!AS8-'SEGMENTY I'!AT8</f>
        <v>28472618.070000008</v>
      </c>
      <c r="AT8" s="78">
        <f>'SEGMENTY I'!AT8-'SEGMENTY I'!AU8</f>
        <v>35803711.979999997</v>
      </c>
      <c r="AU8" s="83">
        <v>31312762.740000002</v>
      </c>
      <c r="AV8" s="78">
        <f>'SEGMENTY I'!AV8-'SEGMENTY I'!AW8</f>
        <v>22351079.060000002</v>
      </c>
      <c r="AW8" s="79">
        <f>'SEGMENTY I'!AW8-'SEGMENTY I'!AX8</f>
        <v>24131902.700000003</v>
      </c>
      <c r="AX8" s="78">
        <f>'SEGMENTY I'!AX8-'SEGMENTY I'!AY8</f>
        <v>31045080.590000004</v>
      </c>
      <c r="AY8" s="83">
        <v>29228331.269999996</v>
      </c>
      <c r="AZ8" s="78">
        <f>'SEGMENTY I'!AZ8-'SEGMENTY I'!BA8</f>
        <v>20853606.840000004</v>
      </c>
      <c r="BA8" s="79">
        <f>'SEGMENTY I'!BA8-'SEGMENTY I'!BB8</f>
        <v>20590000</v>
      </c>
      <c r="BB8" s="78">
        <f>'SEGMENTY I'!BB8-'SEGMENTY I'!BC8</f>
        <v>25500000</v>
      </c>
      <c r="BC8" s="82">
        <v>28084000</v>
      </c>
    </row>
    <row r="9" spans="1:55" ht="27.9" customHeight="1">
      <c r="A9" s="144"/>
      <c r="B9" s="213"/>
      <c r="C9" s="80"/>
      <c r="D9" s="213"/>
      <c r="E9" s="79"/>
      <c r="F9" s="213"/>
      <c r="G9" s="80"/>
      <c r="H9" s="213"/>
      <c r="I9" s="79"/>
      <c r="J9" s="213"/>
      <c r="K9" s="80"/>
      <c r="L9" s="213"/>
      <c r="M9" s="79"/>
      <c r="N9" s="213"/>
      <c r="O9" s="80"/>
      <c r="P9" s="213"/>
      <c r="Q9" s="79"/>
      <c r="R9" s="213"/>
      <c r="S9" s="80"/>
      <c r="T9" s="213"/>
      <c r="U9" s="79"/>
      <c r="V9" s="213"/>
      <c r="W9" s="80"/>
      <c r="X9" s="213"/>
      <c r="Y9" s="79"/>
      <c r="Z9" s="213"/>
      <c r="AA9" s="80"/>
      <c r="AB9" s="213"/>
      <c r="AC9" s="79"/>
      <c r="AD9" s="213"/>
      <c r="AE9" s="80"/>
      <c r="AF9" s="213"/>
      <c r="AG9" s="79"/>
      <c r="AH9" s="213"/>
      <c r="AI9" s="80"/>
      <c r="AJ9" s="213"/>
      <c r="AK9" s="79"/>
      <c r="AL9" s="213"/>
      <c r="AM9" s="80"/>
      <c r="AN9" s="233"/>
      <c r="AO9" s="79"/>
      <c r="AP9" s="213"/>
      <c r="AQ9" s="80"/>
      <c r="AR9" s="78"/>
      <c r="AS9" s="79"/>
      <c r="AT9" s="78"/>
      <c r="AU9" s="80"/>
      <c r="AV9" s="78"/>
      <c r="AW9" s="79"/>
      <c r="AX9" s="78"/>
      <c r="AY9" s="80"/>
      <c r="AZ9" s="78"/>
      <c r="BA9" s="79"/>
      <c r="BB9" s="78"/>
      <c r="BC9" s="79"/>
    </row>
    <row r="10" spans="1:55" ht="27.9" customHeight="1">
      <c r="A10" s="145" t="s">
        <v>110</v>
      </c>
      <c r="B10" s="214">
        <f>'SEGMENTY I'!B10-'SEGMENTY I'!C10</f>
        <v>34489579.690000005</v>
      </c>
      <c r="C10" s="83">
        <f>'SEGMENTY I'!C10</f>
        <v>37512316.740000002</v>
      </c>
      <c r="D10" s="214">
        <v>40695436.729999997</v>
      </c>
      <c r="E10" s="218">
        <v>38855786.749999993</v>
      </c>
      <c r="F10" s="214">
        <v>27935811.600000001</v>
      </c>
      <c r="G10" s="83">
        <v>34014413.980000004</v>
      </c>
      <c r="H10" s="214">
        <v>26487230.620000001</v>
      </c>
      <c r="I10" s="218">
        <v>26810689.740000002</v>
      </c>
      <c r="J10" s="214">
        <v>27894700.25</v>
      </c>
      <c r="K10" s="83">
        <v>30154864.479999997</v>
      </c>
      <c r="L10" s="214">
        <v>32567999.800000004</v>
      </c>
      <c r="M10" s="218">
        <v>32248850.049999997</v>
      </c>
      <c r="N10" s="214">
        <v>31467677.170000002</v>
      </c>
      <c r="O10" s="83">
        <v>35759152.560000002</v>
      </c>
      <c r="P10" s="214">
        <v>31482371.089999989</v>
      </c>
      <c r="Q10" s="218">
        <v>30062591.450000007</v>
      </c>
      <c r="R10" s="214">
        <v>27428558.670000002</v>
      </c>
      <c r="S10" s="83">
        <v>29399544.079999998</v>
      </c>
      <c r="T10" s="214">
        <v>23326838.930000015</v>
      </c>
      <c r="U10" s="218">
        <v>23833545.799999997</v>
      </c>
      <c r="V10" s="214">
        <v>19288241.619999997</v>
      </c>
      <c r="W10" s="83">
        <v>32063589.390000001</v>
      </c>
      <c r="X10" s="214">
        <v>31011233.060000002</v>
      </c>
      <c r="Y10" s="82">
        <v>22327934.789999999</v>
      </c>
      <c r="Z10" s="214">
        <v>27164221.519999996</v>
      </c>
      <c r="AA10" s="83">
        <v>28593832.390000001</v>
      </c>
      <c r="AB10" s="214">
        <v>22520597.520000003</v>
      </c>
      <c r="AC10" s="218">
        <v>23096579.310000002</v>
      </c>
      <c r="AD10" s="214">
        <v>24727039.744839828</v>
      </c>
      <c r="AE10" s="83">
        <v>30003093.095160171</v>
      </c>
      <c r="AF10" s="214">
        <v>20829671.966841854</v>
      </c>
      <c r="AG10" s="218">
        <v>27558379.335617688</v>
      </c>
      <c r="AH10" s="214">
        <v>26223996.101837661</v>
      </c>
      <c r="AI10" s="83">
        <v>26878386.000856485</v>
      </c>
      <c r="AJ10" s="214">
        <v>34545843.051909827</v>
      </c>
      <c r="AK10" s="218">
        <v>22960193.844911903</v>
      </c>
      <c r="AL10" s="214">
        <v>30337553.639999997</v>
      </c>
      <c r="AM10" s="83">
        <v>32192236.940000001</v>
      </c>
      <c r="AN10" s="232">
        <v>30805884.70999999</v>
      </c>
      <c r="AO10" s="218">
        <v>25597949.880000003</v>
      </c>
      <c r="AP10" s="214">
        <v>33016841.090000004</v>
      </c>
      <c r="AQ10" s="83">
        <v>31742626.140000001</v>
      </c>
      <c r="AR10" s="78">
        <v>22391460.508233443</v>
      </c>
      <c r="AS10" s="79">
        <v>26197054.007156461</v>
      </c>
      <c r="AT10" s="78">
        <v>32735851.794610098</v>
      </c>
      <c r="AU10" s="83">
        <v>30490476.25</v>
      </c>
      <c r="AV10" s="78">
        <v>24439641.651093274</v>
      </c>
      <c r="AW10" s="79">
        <v>21622698.117085233</v>
      </c>
      <c r="AX10" s="78">
        <v>30567866.590105113</v>
      </c>
      <c r="AY10" s="83">
        <v>26031088.761716384</v>
      </c>
      <c r="AZ10" s="78">
        <v>21093713.759228885</v>
      </c>
      <c r="BA10" s="79">
        <v>20384907.379999995</v>
      </c>
      <c r="BB10" s="78">
        <v>24859159.239999998</v>
      </c>
      <c r="BC10" s="82">
        <v>27140840.760000002</v>
      </c>
    </row>
    <row r="11" spans="1:55" ht="27.9" customHeight="1">
      <c r="A11" s="144"/>
      <c r="B11" s="213"/>
      <c r="C11" s="80"/>
      <c r="D11" s="213"/>
      <c r="E11" s="79"/>
      <c r="F11" s="213"/>
      <c r="G11" s="80"/>
      <c r="H11" s="213"/>
      <c r="I11" s="79"/>
      <c r="J11" s="213"/>
      <c r="K11" s="80"/>
      <c r="L11" s="213"/>
      <c r="M11" s="79"/>
      <c r="N11" s="213"/>
      <c r="O11" s="80"/>
      <c r="P11" s="213"/>
      <c r="Q11" s="79"/>
      <c r="R11" s="213"/>
      <c r="S11" s="80"/>
      <c r="T11" s="213"/>
      <c r="U11" s="79"/>
      <c r="V11" s="213"/>
      <c r="W11" s="80"/>
      <c r="X11" s="213"/>
      <c r="Y11" s="79"/>
      <c r="Z11" s="213"/>
      <c r="AA11" s="80"/>
      <c r="AB11" s="213"/>
      <c r="AC11" s="79"/>
      <c r="AD11" s="213"/>
      <c r="AE11" s="80"/>
      <c r="AF11" s="213"/>
      <c r="AG11" s="79"/>
      <c r="AH11" s="213"/>
      <c r="AI11" s="80"/>
      <c r="AJ11" s="213"/>
      <c r="AK11" s="79"/>
      <c r="AL11" s="213"/>
      <c r="AM11" s="80"/>
      <c r="AN11" s="231"/>
      <c r="AO11" s="79"/>
      <c r="AP11" s="213"/>
      <c r="AQ11" s="80"/>
      <c r="AR11" s="78"/>
      <c r="AS11" s="79"/>
      <c r="AT11" s="78"/>
      <c r="AU11" s="80"/>
      <c r="AV11" s="78"/>
      <c r="AW11" s="79"/>
      <c r="AX11" s="78"/>
      <c r="AY11" s="80"/>
      <c r="AZ11" s="78"/>
      <c r="BA11" s="79"/>
      <c r="BB11" s="78"/>
      <c r="BC11" s="79"/>
    </row>
    <row r="12" spans="1:55" ht="27.9" customHeight="1">
      <c r="A12" s="145" t="s">
        <v>111</v>
      </c>
      <c r="B12" s="214">
        <f>B8-B10</f>
        <v>17085268.619999997</v>
      </c>
      <c r="C12" s="83">
        <f t="shared" ref="C12" si="17">C8-C10</f>
        <v>3032274.6599999964</v>
      </c>
      <c r="D12" s="214">
        <f t="shared" ref="D12:AA12" si="18">D8-D10</f>
        <v>11753200.199999996</v>
      </c>
      <c r="E12" s="82">
        <f t="shared" si="18"/>
        <v>33841984.990000017</v>
      </c>
      <c r="F12" s="214">
        <f t="shared" si="18"/>
        <v>3754604.3399999961</v>
      </c>
      <c r="G12" s="83">
        <f t="shared" si="18"/>
        <v>7543074.849999994</v>
      </c>
      <c r="H12" s="214">
        <f t="shared" si="18"/>
        <v>8010963.7699999921</v>
      </c>
      <c r="I12" s="82">
        <f t="shared" si="18"/>
        <v>6793577.0000000075</v>
      </c>
      <c r="J12" s="214">
        <f t="shared" si="18"/>
        <v>-1810284.4000000022</v>
      </c>
      <c r="K12" s="83">
        <f t="shared" si="18"/>
        <v>-5877133.8499999978</v>
      </c>
      <c r="L12" s="214">
        <f t="shared" si="18"/>
        <v>-2427929.9900000095</v>
      </c>
      <c r="M12" s="82">
        <f t="shared" si="18"/>
        <v>2498816.5300000012</v>
      </c>
      <c r="N12" s="214">
        <f t="shared" si="18"/>
        <v>4328418.9200000018</v>
      </c>
      <c r="O12" s="83">
        <f t="shared" si="18"/>
        <v>3568115.9699999988</v>
      </c>
      <c r="P12" s="214">
        <f t="shared" si="18"/>
        <v>91835.100000008941</v>
      </c>
      <c r="Q12" s="82">
        <f t="shared" si="18"/>
        <v>5745526.0899999924</v>
      </c>
      <c r="R12" s="214">
        <f t="shared" si="18"/>
        <v>5795746.5399999991</v>
      </c>
      <c r="S12" s="83">
        <f t="shared" si="18"/>
        <v>8762390.2700000033</v>
      </c>
      <c r="T12" s="214">
        <f t="shared" si="18"/>
        <v>-1244532.4300000146</v>
      </c>
      <c r="U12" s="82">
        <f t="shared" si="18"/>
        <v>4573553.7099999972</v>
      </c>
      <c r="V12" s="214">
        <f t="shared" si="18"/>
        <v>8831829.5000000075</v>
      </c>
      <c r="W12" s="83">
        <f t="shared" si="18"/>
        <v>11271493.289999999</v>
      </c>
      <c r="X12" s="214">
        <f t="shared" si="18"/>
        <v>7678005.8599999994</v>
      </c>
      <c r="Y12" s="82">
        <f t="shared" si="18"/>
        <v>3455703.3500000052</v>
      </c>
      <c r="Z12" s="214">
        <f t="shared" si="18"/>
        <v>3715670.8500000015</v>
      </c>
      <c r="AA12" s="83">
        <f t="shared" si="18"/>
        <v>-752981.44000000134</v>
      </c>
      <c r="AB12" s="214">
        <f>'SEGMENTY I'!AB12-'SEGMENTY I'!AC12</f>
        <v>-2955263.25</v>
      </c>
      <c r="AC12" s="218">
        <f>'SEGMENTY I'!AC12-'SEGMENTY I'!AD12</f>
        <v>-1340948.2099999934</v>
      </c>
      <c r="AD12" s="214">
        <f t="shared" ref="AD12:AP12" si="19">AD8-AD10</f>
        <v>-311901.38483982906</v>
      </c>
      <c r="AE12" s="83">
        <f t="shared" si="19"/>
        <v>7553304.0448398292</v>
      </c>
      <c r="AF12" s="214">
        <f t="shared" si="19"/>
        <v>2870300.7431581393</v>
      </c>
      <c r="AG12" s="218">
        <f t="shared" si="19"/>
        <v>4958462.314382311</v>
      </c>
      <c r="AH12" s="214">
        <f t="shared" si="19"/>
        <v>669972.73816234246</v>
      </c>
      <c r="AI12" s="83">
        <f t="shared" si="19"/>
        <v>1961121.9491435178</v>
      </c>
      <c r="AJ12" s="214">
        <f t="shared" si="19"/>
        <v>12760064.248090178</v>
      </c>
      <c r="AK12" s="218">
        <f t="shared" si="19"/>
        <v>-1175658.7949119136</v>
      </c>
      <c r="AL12" s="214">
        <f t="shared" si="19"/>
        <v>1364420.1000000052</v>
      </c>
      <c r="AM12" s="83">
        <f t="shared" si="19"/>
        <v>-820960.58999999985</v>
      </c>
      <c r="AN12" s="232">
        <f t="shared" si="19"/>
        <v>-1806255.2799999826</v>
      </c>
      <c r="AO12" s="218">
        <f t="shared" si="19"/>
        <v>-2330563.6800000072</v>
      </c>
      <c r="AP12" s="214">
        <f t="shared" si="19"/>
        <v>-729469.34000000358</v>
      </c>
      <c r="AQ12" s="83">
        <v>-319988.31</v>
      </c>
      <c r="AR12" s="78">
        <f>'SEGMENTY I'!AR12-'SEGMENTY I'!AS12</f>
        <v>-2344177.138233447</v>
      </c>
      <c r="AS12" s="79">
        <f>'SEGMENTY I'!AS12-'SEGMENTY I'!AT12</f>
        <v>2275564.0628435463</v>
      </c>
      <c r="AT12" s="78">
        <f>'SEGMENTY I'!AT12-'SEGMENTY I'!AU12</f>
        <v>3067860.1853899006</v>
      </c>
      <c r="AU12" s="83">
        <v>822286.49</v>
      </c>
      <c r="AV12" s="78">
        <f>'SEGMENTY I'!AV12-'SEGMENTY I'!AW12</f>
        <v>-2088562.591093272</v>
      </c>
      <c r="AW12" s="79">
        <f>'SEGMENTY I'!AW12-'SEGMENTY I'!AX12</f>
        <v>2509204.5829147696</v>
      </c>
      <c r="AX12" s="78">
        <f>'SEGMENTY I'!AX12-'SEGMENTY I'!AY12</f>
        <v>477213.99989489093</v>
      </c>
      <c r="AY12" s="83">
        <v>3197242.5082836114</v>
      </c>
      <c r="AZ12" s="78">
        <f>'SEGMENTY I'!AZ12-'SEGMENTY I'!BA12</f>
        <v>-240106.9192288816</v>
      </c>
      <c r="BA12" s="79">
        <f>'SEGMENTY I'!BA12-'SEGMENTY I'!BB12</f>
        <v>205092.62000000477</v>
      </c>
      <c r="BB12" s="78">
        <f>'SEGMENTY I'!BB12-'SEGMENTY I'!BC12</f>
        <v>640840.76000000164</v>
      </c>
      <c r="BC12" s="82">
        <v>943159.23999999836</v>
      </c>
    </row>
    <row r="13" spans="1:55" ht="27.9" customHeight="1">
      <c r="E13" s="473"/>
      <c r="I13" s="473"/>
      <c r="K13"/>
      <c r="M13" s="473"/>
      <c r="Q13" s="473"/>
      <c r="U13" s="473"/>
      <c r="Y13" s="9"/>
      <c r="AA13" s="9"/>
    </row>
    <row r="14" spans="1:55" ht="27.9" customHeight="1">
      <c r="E14" s="473"/>
      <c r="I14" s="473"/>
      <c r="K14"/>
      <c r="M14" s="473"/>
      <c r="Q14" s="473"/>
      <c r="U14" s="5"/>
      <c r="Y14" s="9"/>
      <c r="AA14" s="9"/>
    </row>
    <row r="15" spans="1:55" ht="27.9" customHeight="1">
      <c r="A15" s="370" t="s">
        <v>149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532" t="s">
        <v>139</v>
      </c>
      <c r="X15" s="532"/>
      <c r="Y15" s="532"/>
      <c r="Z15" s="532"/>
      <c r="AA15" s="532"/>
      <c r="AB15" s="532"/>
      <c r="AC15" s="532"/>
      <c r="AD15" s="532"/>
      <c r="AE15" s="532"/>
      <c r="AF15" s="532"/>
      <c r="AG15" s="532"/>
      <c r="AH15" s="532"/>
      <c r="AI15" s="532"/>
      <c r="AJ15" s="532"/>
      <c r="AK15" s="532"/>
      <c r="AL15" s="532"/>
      <c r="AM15" s="532"/>
      <c r="AN15" s="532"/>
      <c r="AO15" s="532"/>
      <c r="AP15" s="532"/>
      <c r="AQ15" s="532"/>
      <c r="AR15" s="532"/>
    </row>
    <row r="16" spans="1:55" ht="27.9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212"/>
      <c r="AC16" s="5"/>
      <c r="AD16" s="212"/>
      <c r="AE16" s="146"/>
      <c r="AF16" s="5"/>
      <c r="AG16" s="5"/>
      <c r="AH16" s="5"/>
      <c r="AI16" s="5"/>
      <c r="AJ16" s="5"/>
      <c r="AK16" s="84"/>
      <c r="AL16" s="5"/>
      <c r="AM16" s="5"/>
      <c r="AN16" s="5"/>
      <c r="AO16" s="5"/>
      <c r="AP16" s="5"/>
      <c r="AQ16" s="5"/>
    </row>
    <row r="17" spans="1:55" ht="27.9" customHeight="1">
      <c r="A17" s="142"/>
      <c r="B17" s="216" t="s">
        <v>288</v>
      </c>
      <c r="C17" s="360" t="str">
        <f>C5</f>
        <v>IQ25</v>
      </c>
      <c r="D17" s="216" t="str">
        <f>D5</f>
        <v>IVQ 24</v>
      </c>
      <c r="E17" s="361" t="s">
        <v>279</v>
      </c>
      <c r="F17" s="216" t="s">
        <v>277</v>
      </c>
      <c r="G17" s="360" t="str">
        <f>G5</f>
        <v>IQ24</v>
      </c>
      <c r="H17" s="216" t="str">
        <f>H5</f>
        <v>IVQ 23</v>
      </c>
      <c r="I17" s="361" t="s">
        <v>269</v>
      </c>
      <c r="J17" s="216" t="s">
        <v>267</v>
      </c>
      <c r="K17" s="360" t="str">
        <f>K5</f>
        <v>IQ23</v>
      </c>
      <c r="L17" s="216" t="s">
        <v>257</v>
      </c>
      <c r="M17" s="361" t="s">
        <v>255</v>
      </c>
      <c r="N17" s="216" t="s">
        <v>250</v>
      </c>
      <c r="O17" s="360" t="str">
        <f>O5</f>
        <v>IQ22</v>
      </c>
      <c r="P17" s="216" t="s">
        <v>246</v>
      </c>
      <c r="Q17" s="361" t="s">
        <v>244</v>
      </c>
      <c r="R17" s="216" t="s">
        <v>240</v>
      </c>
      <c r="S17" s="360" t="str">
        <f>S5</f>
        <v>IQ21</v>
      </c>
      <c r="T17" s="216" t="s">
        <v>236</v>
      </c>
      <c r="U17" s="361" t="s">
        <v>233</v>
      </c>
      <c r="V17" s="216" t="s">
        <v>228</v>
      </c>
      <c r="W17" s="360" t="s">
        <v>226</v>
      </c>
      <c r="X17" s="216" t="s">
        <v>221</v>
      </c>
      <c r="Y17" s="361" t="s">
        <v>217</v>
      </c>
      <c r="Z17" s="216" t="s">
        <v>215</v>
      </c>
      <c r="AA17" s="360" t="s">
        <v>213</v>
      </c>
      <c r="AB17" s="216" t="s">
        <v>209</v>
      </c>
      <c r="AC17" s="72" t="s">
        <v>207</v>
      </c>
      <c r="AD17" s="216" t="s">
        <v>204</v>
      </c>
      <c r="AE17" s="215" t="s">
        <v>202</v>
      </c>
      <c r="AF17" s="216" t="s">
        <v>200</v>
      </c>
      <c r="AG17" s="72" t="s">
        <v>199</v>
      </c>
      <c r="AH17" s="216" t="s">
        <v>193</v>
      </c>
      <c r="AI17" s="215" t="s">
        <v>190</v>
      </c>
      <c r="AJ17" s="216" t="s">
        <v>189</v>
      </c>
      <c r="AK17" s="72" t="s">
        <v>188</v>
      </c>
      <c r="AL17" s="216" t="s">
        <v>186</v>
      </c>
      <c r="AM17" s="215" t="s">
        <v>183</v>
      </c>
      <c r="AN17" s="230" t="s">
        <v>182</v>
      </c>
      <c r="AO17" s="72" t="s">
        <v>180</v>
      </c>
      <c r="AP17" s="216" t="s">
        <v>177</v>
      </c>
      <c r="AQ17" s="215" t="s">
        <v>155</v>
      </c>
      <c r="AR17" s="71" t="s">
        <v>116</v>
      </c>
      <c r="AS17" s="72" t="s">
        <v>25</v>
      </c>
      <c r="AT17" s="73" t="s">
        <v>26</v>
      </c>
      <c r="AU17" s="74" t="s">
        <v>16</v>
      </c>
      <c r="AV17" s="73" t="s">
        <v>27</v>
      </c>
      <c r="AW17" s="72" t="s">
        <v>28</v>
      </c>
      <c r="AX17" s="73" t="s">
        <v>29</v>
      </c>
      <c r="AY17" s="74" t="s">
        <v>20</v>
      </c>
      <c r="AZ17" s="73" t="s">
        <v>30</v>
      </c>
      <c r="BA17" s="72" t="s">
        <v>31</v>
      </c>
      <c r="BB17" s="73" t="s">
        <v>32</v>
      </c>
      <c r="BC17" s="72" t="s">
        <v>24</v>
      </c>
    </row>
    <row r="18" spans="1:55" ht="27.9" customHeight="1">
      <c r="A18" s="143" t="s">
        <v>112</v>
      </c>
      <c r="B18" s="217">
        <f>'SEGMENTY I'!B18-'SEGMENTY I'!C18</f>
        <v>42753376.180000007</v>
      </c>
      <c r="C18" s="366">
        <f>'SEGMENTY I'!C18</f>
        <v>52853495.829999998</v>
      </c>
      <c r="D18" s="217">
        <f>'SEGMENTY I'!D18-'SEGMENTY I'!E18</f>
        <v>18265891.149999991</v>
      </c>
      <c r="E18" s="79">
        <f>'SEGMENTY I'!E18-'SEGMENTY I'!F18</f>
        <v>17575303</v>
      </c>
      <c r="F18" s="217">
        <f>'SEGMENTY I'!F18-'SEGMENTY I'!G18</f>
        <v>45882026.710000008</v>
      </c>
      <c r="G18" s="366">
        <f>'SEGMENTY I'!G18</f>
        <v>48957210.939999998</v>
      </c>
      <c r="H18" s="217">
        <f>'SEGMENTY I'!H18-'SEGMENTY I'!I18</f>
        <v>17172777.180000007</v>
      </c>
      <c r="I18" s="79">
        <f>'SEGMENTY I'!I18-'SEGMENTY I'!J18</f>
        <v>16595497.799999997</v>
      </c>
      <c r="J18" s="217">
        <f>'SEGMENTY I'!J18-'SEGMENTY I'!K18</f>
        <v>41031053.539999999</v>
      </c>
      <c r="K18" s="366">
        <f>'SEGMENTY I'!K18</f>
        <v>46031957.770000003</v>
      </c>
      <c r="L18" s="217">
        <f>'SEGMENTY I'!L18-'SEGMENTY I'!M18</f>
        <v>15411695.859999999</v>
      </c>
      <c r="M18" s="79">
        <f>'SEGMENTY I'!M18-'SEGMENTY I'!N18</f>
        <v>21530016.349999994</v>
      </c>
      <c r="N18" s="217">
        <f>'SEGMENTY I'!N18-'SEGMENTY I'!O18</f>
        <v>47131081.590000004</v>
      </c>
      <c r="O18" s="366">
        <f>'SEGMENTY I'!O18</f>
        <v>48146218.079999998</v>
      </c>
      <c r="P18" s="217">
        <f>'SEGMENTY I'!P18-'SEGMENTY I'!Q18</f>
        <v>13469738.439999998</v>
      </c>
      <c r="Q18" s="79">
        <f>'SEGMENTY I'!Q18-'SEGMENTY I'!R18</f>
        <v>19643506.019999996</v>
      </c>
      <c r="R18" s="217">
        <f>'SEGMENTY I'!R18-'SEGMENTY I'!S18</f>
        <v>31355312.170000002</v>
      </c>
      <c r="S18" s="366">
        <f>'SEGMENTY I'!S18</f>
        <v>30143399.670000002</v>
      </c>
      <c r="T18" s="217">
        <f>'SEGMENTY I'!T18-'SEGMENTY I'!U18</f>
        <v>5992973.9600000083</v>
      </c>
      <c r="U18" s="79">
        <f>'SEGMENTY I'!U18-'SEGMENTY I'!V18</f>
        <v>10089048.519999996</v>
      </c>
      <c r="V18" s="217">
        <f>'SEGMENTY I'!V18-'SEGMENTY I'!W18</f>
        <v>26860087.990000002</v>
      </c>
      <c r="W18" s="366">
        <f>'SEGMENTY I'!W18</f>
        <v>36617179.43</v>
      </c>
      <c r="X18" s="217">
        <f>'SEGMENTY I'!X18-'SEGMENTY I'!Y18</f>
        <v>15824889.25</v>
      </c>
      <c r="Y18" s="367">
        <f>'SEGMENTY I'!Y18-'SEGMENTY I'!Z18</f>
        <v>12062976.619999997</v>
      </c>
      <c r="Z18" s="217">
        <f>'SEGMENTY I'!Z18-'SEGMENTY I'!AA18</f>
        <v>33277717.440000001</v>
      </c>
      <c r="AA18" s="366">
        <v>29693720.879999999</v>
      </c>
      <c r="AB18" s="477">
        <f>'SEGMENTY I'!AB18-'SEGMENTY I'!AC18</f>
        <v>11332488.979999989</v>
      </c>
      <c r="AC18" s="219">
        <f>'SEGMENTY I'!AC18-'SEGMENTY I'!AD18</f>
        <v>9220940.2700000033</v>
      </c>
      <c r="AD18" s="217">
        <f>'SEGMENTY I'!AD18-'SEGMENTY I'!AE18</f>
        <v>31810059.880000003</v>
      </c>
      <c r="AE18" s="77">
        <f>'SEGMENTY I'!AE18</f>
        <v>33279017.469999999</v>
      </c>
      <c r="AF18" s="217">
        <f>'SEGMENTY I'!AF18-'SEGMENTY I'!AG18</f>
        <v>9651119.2699999809</v>
      </c>
      <c r="AG18" s="219">
        <f>'SEGMENTY I'!AG18-'SEGMENTY I'!AH18</f>
        <v>11322895.190000013</v>
      </c>
      <c r="AH18" s="217">
        <f>'SEGMENTY I'!AH18-'SEGMENTY I'!AI18</f>
        <v>32587399.530000001</v>
      </c>
      <c r="AI18" s="77">
        <f>'SEGMENTY I'!AI18</f>
        <v>30832614.060000002</v>
      </c>
      <c r="AJ18" s="217">
        <f>'SEGMENTY I'!AJ18-'SEGMENTY I'!AK18</f>
        <v>7537426.5500000119</v>
      </c>
      <c r="AK18" s="219">
        <f>'SEGMENTY I'!AK18-'SEGMENTY I'!AL18</f>
        <v>10713773.390000001</v>
      </c>
      <c r="AL18" s="217">
        <f>'SEGMENTY I'!AL18-'SEGMENTY I'!AM18</f>
        <v>28599021.799999997</v>
      </c>
      <c r="AM18" s="77">
        <f>'SEGMENTY I'!AM18</f>
        <v>34505661.890000001</v>
      </c>
      <c r="AN18" s="231">
        <f>'SEGMENTY I'!AN18-'SEGMENTY I'!AO18</f>
        <v>6119545.6899999976</v>
      </c>
      <c r="AO18" s="219">
        <f>'SEGMENTY I'!AO18-'SEGMENTY I'!AP18</f>
        <v>10483245.790000007</v>
      </c>
      <c r="AP18" s="217">
        <f>'SEGMENTY I'!AP18-'SEGMENTY I'!AQ18</f>
        <v>34346178.439999998</v>
      </c>
      <c r="AQ18" s="77">
        <v>34495191.420000002</v>
      </c>
      <c r="AR18" s="75">
        <f>'SEGMENTY I'!AR18-'SEGMENTY I'!AS18</f>
        <v>6031799.8699999899</v>
      </c>
      <c r="AS18" s="76">
        <f>'SEGMENTY I'!AS18-'SEGMENTY I'!AT18</f>
        <v>8039217.4300000072</v>
      </c>
      <c r="AT18" s="75">
        <f>'SEGMENTY I'!AT18-'SEGMENTY I'!AU18</f>
        <v>33766559.940000005</v>
      </c>
      <c r="AU18" s="77">
        <v>40025644.910000004</v>
      </c>
      <c r="AV18" s="75">
        <f>'SEGMENTY I'!AV18-'SEGMENTY I'!AW18</f>
        <v>8971354.7200000137</v>
      </c>
      <c r="AW18" s="76">
        <f>'SEGMENTY I'!AW18-'SEGMENTY I'!AX18</f>
        <v>8230320.8399999887</v>
      </c>
      <c r="AX18" s="75">
        <f>'SEGMENTY I'!AX18-'SEGMENTY I'!AY18</f>
        <v>36090655.390000001</v>
      </c>
      <c r="AY18" s="77">
        <v>30779497.77</v>
      </c>
      <c r="AZ18" s="75">
        <f>'SEGMENTY I'!AZ18-'SEGMENTY I'!BA18</f>
        <v>2403265.1099999994</v>
      </c>
      <c r="BA18" s="76">
        <f>'SEGMENTY I'!BA18-'SEGMENTY I'!BB18</f>
        <v>8509638.9099999964</v>
      </c>
      <c r="BB18" s="75">
        <f>'SEGMENTY I'!BB18-'SEGMENTY I'!BC18</f>
        <v>35338454.120000005</v>
      </c>
      <c r="BC18" s="76">
        <v>31245978.989999998</v>
      </c>
    </row>
    <row r="19" spans="1:55" ht="27.9" customHeight="1">
      <c r="A19" s="144" t="s">
        <v>108</v>
      </c>
      <c r="B19" s="213">
        <f>'SEGMENTY I'!B19-'SEGMENTY I'!C19</f>
        <v>2604646.0500000003</v>
      </c>
      <c r="C19" s="80">
        <f>'SEGMENTY I'!C19</f>
        <v>2893681.81</v>
      </c>
      <c r="D19" s="213">
        <f>'SEGMENTY I'!D19-'SEGMENTY I'!E19</f>
        <v>12499026.75</v>
      </c>
      <c r="E19" s="79">
        <f>'SEGMENTY I'!E19-'SEGMENTY I'!F19</f>
        <v>4417216.3599999994</v>
      </c>
      <c r="F19" s="213">
        <f>'SEGMENTY I'!F19-'SEGMENTY I'!G19</f>
        <v>1932701.54</v>
      </c>
      <c r="G19" s="80">
        <f>'SEGMENTY I'!G19</f>
        <v>2322593.37</v>
      </c>
      <c r="H19" s="213">
        <f>'SEGMENTY I'!H19-'SEGMENTY I'!I19</f>
        <v>4296972.0299999993</v>
      </c>
      <c r="I19" s="79">
        <f>'SEGMENTY I'!I19-'SEGMENTY I'!J19</f>
        <v>1285737.1099999999</v>
      </c>
      <c r="J19" s="213">
        <f>'SEGMENTY I'!J19-'SEGMENTY I'!K19</f>
        <v>1436681.44</v>
      </c>
      <c r="K19" s="80">
        <f>'SEGMENTY I'!K19</f>
        <v>2299468.37</v>
      </c>
      <c r="L19" s="213">
        <f>'SEGMENTY I'!L19-'SEGMENTY I'!M19</f>
        <v>2705672.0999999996</v>
      </c>
      <c r="M19" s="79">
        <f>'SEGMENTY I'!M19-'SEGMENTY I'!N19</f>
        <v>3088523.7200000007</v>
      </c>
      <c r="N19" s="213">
        <f>'SEGMENTY I'!N19-'SEGMENTY I'!O19</f>
        <v>4851166.75</v>
      </c>
      <c r="O19" s="80">
        <f>'SEGMENTY I'!O19</f>
        <v>3934818.41</v>
      </c>
      <c r="P19" s="213">
        <f>'SEGMENTY I'!P19-'SEGMENTY I'!Q19</f>
        <v>1939705.5199999996</v>
      </c>
      <c r="Q19" s="79">
        <f>'SEGMENTY I'!Q19-'SEGMENTY I'!R19</f>
        <v>2068886.4800000004</v>
      </c>
      <c r="R19" s="213">
        <f>'SEGMENTY I'!R19-'SEGMENTY I'!S19</f>
        <v>1662248.79</v>
      </c>
      <c r="S19" s="80">
        <f>'SEGMENTY I'!S19</f>
        <v>3133134.21</v>
      </c>
      <c r="T19" s="213">
        <f>'SEGMENTY I'!T19-'SEGMENTY I'!U19</f>
        <v>2441845.1900000004</v>
      </c>
      <c r="U19" s="79">
        <f>'SEGMENTY I'!U19-'SEGMENTY I'!V19</f>
        <v>1585567.04</v>
      </c>
      <c r="V19" s="213">
        <f>'SEGMENTY I'!V19-'SEGMENTY I'!W19</f>
        <v>2516659.2099999995</v>
      </c>
      <c r="W19" s="80">
        <f>'SEGMENTY I'!W19</f>
        <v>3834228.81</v>
      </c>
      <c r="X19" s="213">
        <f>'SEGMENTY I'!X19-'SEGMENTY I'!Y19</f>
        <v>3355293.5500000003</v>
      </c>
      <c r="Y19" s="79">
        <f>'SEGMENTY I'!Y19-'SEGMENTY I'!Z19</f>
        <v>460223.5</v>
      </c>
      <c r="Z19" s="213">
        <f>'SEGMENTY I'!Z19-'SEGMENTY I'!AA19</f>
        <v>1170023.99</v>
      </c>
      <c r="AA19" s="80">
        <v>1603025.32</v>
      </c>
      <c r="AB19" s="478">
        <f>'SEGMENTY I'!AB19-'SEGMENTY I'!AC19</f>
        <v>998896.23999999976</v>
      </c>
      <c r="AC19" s="79">
        <f>'SEGMENTY I'!AC19-'SEGMENTY I'!AD19</f>
        <v>201158.34000000032</v>
      </c>
      <c r="AD19" s="213">
        <f>'SEGMENTY I'!AD19-'SEGMENTY I'!AE19</f>
        <v>567317.68999999994</v>
      </c>
      <c r="AE19" s="80">
        <f>'SEGMENTY I'!AE19</f>
        <v>1937686.96</v>
      </c>
      <c r="AF19" s="213">
        <f>'SEGMENTY I'!AF19-'SEGMENTY I'!AG19</f>
        <v>1663230.7800000012</v>
      </c>
      <c r="AG19" s="79">
        <f>'SEGMENTY I'!AG19-'SEGMENTY I'!AH19</f>
        <v>2803042.4600000009</v>
      </c>
      <c r="AH19" s="213">
        <f>'SEGMENTY I'!AH19-'SEGMENTY I'!AI19</f>
        <v>5584941.8700000001</v>
      </c>
      <c r="AI19" s="80">
        <f>'SEGMENTY I'!AI19</f>
        <v>7592989.6499999994</v>
      </c>
      <c r="AJ19" s="213">
        <f>'SEGMENTY I'!AJ19-'SEGMENTY I'!AK19</f>
        <v>6413375.1699999981</v>
      </c>
      <c r="AK19" s="79">
        <f>'SEGMENTY I'!AK19-'SEGMENTY I'!AL19</f>
        <v>997193.16999999993</v>
      </c>
      <c r="AL19" s="213">
        <f>'SEGMENTY I'!AL19-'SEGMENTY I'!AM19</f>
        <v>1348259.83</v>
      </c>
      <c r="AM19" s="80">
        <f>'SEGMENTY I'!AM19</f>
        <v>8066056.2699999996</v>
      </c>
      <c r="AN19" s="231">
        <f>'SEGMENTY I'!AN19-'SEGMENTY I'!AO19</f>
        <v>6035880.9000000022</v>
      </c>
      <c r="AO19" s="79">
        <f>'SEGMENTY I'!AO19-'SEGMENTY I'!AP19</f>
        <v>192844.6099999994</v>
      </c>
      <c r="AP19" s="213">
        <f>'SEGMENTY I'!AP19-'SEGMENTY I'!AQ19</f>
        <v>2205912.8000000007</v>
      </c>
      <c r="AQ19" s="80">
        <v>8526580.4499999993</v>
      </c>
      <c r="AR19" s="78">
        <f>'SEGMENTY I'!AR19-'SEGMENTY I'!AS19</f>
        <v>6768735.4199999999</v>
      </c>
      <c r="AS19" s="79">
        <f>'SEGMENTY I'!AS19-'SEGMENTY I'!AT19</f>
        <v>1725343.0299999993</v>
      </c>
      <c r="AT19" s="78">
        <f>'SEGMENTY I'!AT19-'SEGMENTY I'!AU19</f>
        <v>3538317.1400000006</v>
      </c>
      <c r="AU19" s="80">
        <v>7038287.6099999994</v>
      </c>
      <c r="AV19" s="78">
        <f>'SEGMENTY I'!AV19-'SEGMENTY I'!AW19</f>
        <v>415032.99999999814</v>
      </c>
      <c r="AW19" s="79">
        <f>'SEGMENTY I'!AW19-'SEGMENTY I'!AX19</f>
        <v>12392382.260000002</v>
      </c>
      <c r="AX19" s="78">
        <f>'SEGMENTY I'!AX19-'SEGMENTY I'!AY19</f>
        <v>-3017865.9699999997</v>
      </c>
      <c r="AY19" s="80">
        <v>7003451.9100000001</v>
      </c>
      <c r="AZ19" s="78">
        <f>'SEGMENTY I'!AZ19-'SEGMENTY I'!BA19</f>
        <v>8924109.1400000006</v>
      </c>
      <c r="BA19" s="79">
        <f>'SEGMENTY I'!BA19-'SEGMENTY I'!BB19</f>
        <v>-309000</v>
      </c>
      <c r="BB19" s="78">
        <f>'SEGMENTY I'!BB19-'SEGMENTY I'!BC19</f>
        <v>6623000</v>
      </c>
      <c r="BC19" s="79">
        <v>7026000</v>
      </c>
    </row>
    <row r="20" spans="1:55" ht="27.9" customHeight="1">
      <c r="A20" s="145" t="s">
        <v>109</v>
      </c>
      <c r="B20" s="214">
        <f t="shared" ref="B20" si="20">SUM(B18:B19)</f>
        <v>45358022.230000004</v>
      </c>
      <c r="C20" s="494">
        <f t="shared" ref="C20" si="21">SUM(C18:C19)</f>
        <v>55747177.640000001</v>
      </c>
      <c r="D20" s="214">
        <f t="shared" ref="D20" si="22">SUM(D18:D19)</f>
        <v>30764917.899999991</v>
      </c>
      <c r="E20" s="218">
        <f>SUM(E18:E19)</f>
        <v>21992519.359999999</v>
      </c>
      <c r="F20" s="214">
        <f t="shared" ref="F20" si="23">SUM(F18:F19)</f>
        <v>47814728.250000007</v>
      </c>
      <c r="G20" s="494">
        <f t="shared" ref="G20" si="24">SUM(G18:G19)</f>
        <v>51279804.309999995</v>
      </c>
      <c r="H20" s="214">
        <f t="shared" ref="H20" si="25">SUM(H18:H19)</f>
        <v>21469749.210000008</v>
      </c>
      <c r="I20" s="218">
        <f>SUM(I18:I19)</f>
        <v>17881234.909999996</v>
      </c>
      <c r="J20" s="214">
        <f t="shared" ref="J20" si="26">SUM(J18:J19)</f>
        <v>42467734.979999997</v>
      </c>
      <c r="K20" s="494">
        <f t="shared" ref="K20" si="27">SUM(K18:K19)</f>
        <v>48331426.140000001</v>
      </c>
      <c r="L20" s="214">
        <f t="shared" ref="L20" si="28">SUM(L18:L19)</f>
        <v>18117367.960000001</v>
      </c>
      <c r="M20" s="218">
        <f>SUM(M18:M19)</f>
        <v>24618540.069999993</v>
      </c>
      <c r="N20" s="214">
        <f t="shared" ref="N20" si="29">SUM(N18:N19)</f>
        <v>51982248.340000004</v>
      </c>
      <c r="O20" s="494">
        <f t="shared" ref="O20" si="30">SUM(O18:O19)</f>
        <v>52081036.489999995</v>
      </c>
      <c r="P20" s="214">
        <f t="shared" ref="P20" si="31">SUM(P18:P19)</f>
        <v>15409443.959999997</v>
      </c>
      <c r="Q20" s="218">
        <f>SUM(Q18:Q19)</f>
        <v>21712392.499999996</v>
      </c>
      <c r="R20" s="214">
        <f t="shared" ref="R20" si="32">SUM(R18:R19)</f>
        <v>33017560.960000001</v>
      </c>
      <c r="S20" s="494">
        <f t="shared" ref="S20" si="33">SUM(S18:S19)</f>
        <v>33276533.880000003</v>
      </c>
      <c r="T20" s="214">
        <f t="shared" ref="T20" si="34">SUM(T18:T19)</f>
        <v>8434819.1500000097</v>
      </c>
      <c r="U20" s="218">
        <f t="shared" ref="U20" si="35">SUM(U18:U19)</f>
        <v>11674615.559999995</v>
      </c>
      <c r="V20" s="214">
        <f t="shared" ref="V20:AA20" si="36">SUM(V18:V19)</f>
        <v>29376747.200000003</v>
      </c>
      <c r="W20" s="494">
        <f t="shared" si="36"/>
        <v>40451408.240000002</v>
      </c>
      <c r="X20" s="214">
        <f t="shared" si="36"/>
        <v>19180182.800000001</v>
      </c>
      <c r="Y20" s="82">
        <f t="shared" si="36"/>
        <v>12523200.119999997</v>
      </c>
      <c r="Z20" s="214">
        <f t="shared" si="36"/>
        <v>34447741.43</v>
      </c>
      <c r="AA20" s="83">
        <f t="shared" si="36"/>
        <v>31296746.199999999</v>
      </c>
      <c r="AB20" s="214">
        <f>'SEGMENTY I'!AB20-'SEGMENTY I'!AC20</f>
        <v>12331385.219999999</v>
      </c>
      <c r="AC20" s="218">
        <f>'SEGMENTY I'!AC20-'SEGMENTY I'!AD20</f>
        <v>9422098.6099999994</v>
      </c>
      <c r="AD20" s="214">
        <f>SUM(AD18:AD19)</f>
        <v>32377377.570000004</v>
      </c>
      <c r="AE20" s="83">
        <f>SUM(AE18:AE19)</f>
        <v>35216704.43</v>
      </c>
      <c r="AF20" s="214">
        <f>AF18+AF19</f>
        <v>11314350.049999982</v>
      </c>
      <c r="AG20" s="218">
        <f>SUM(AG18:AG19)</f>
        <v>14125937.650000013</v>
      </c>
      <c r="AH20" s="214">
        <f>AH18+AH19</f>
        <v>38172341.399999999</v>
      </c>
      <c r="AI20" s="83">
        <f>SUM(AI18:AI19)</f>
        <v>38425603.710000001</v>
      </c>
      <c r="AJ20" s="214">
        <f>AJ18+AJ19</f>
        <v>13950801.72000001</v>
      </c>
      <c r="AK20" s="218">
        <f>SUM(AK18:AK19)</f>
        <v>11710966.560000001</v>
      </c>
      <c r="AL20" s="214">
        <f>AL18+AL19</f>
        <v>29947281.629999995</v>
      </c>
      <c r="AM20" s="83">
        <f>SUM(AM18:AM19)</f>
        <v>42571718.159999996</v>
      </c>
      <c r="AN20" s="232">
        <f>AN18+AN19</f>
        <v>12155426.59</v>
      </c>
      <c r="AO20" s="218">
        <f>SUM(AO18:AO19)</f>
        <v>10676090.400000006</v>
      </c>
      <c r="AP20" s="214">
        <f>AP18+AP19</f>
        <v>36552091.239999995</v>
      </c>
      <c r="AQ20" s="83">
        <v>43021771.869999997</v>
      </c>
      <c r="AR20" s="78">
        <f>'SEGMENTY I'!AR20-'SEGMENTY I'!AS20</f>
        <v>12800535.289999977</v>
      </c>
      <c r="AS20" s="79">
        <f>'SEGMENTY I'!AS20-'SEGMENTY I'!AT20</f>
        <v>9764560.4600000083</v>
      </c>
      <c r="AT20" s="78">
        <f>'SEGMENTY I'!AT20-'SEGMENTY I'!AU20</f>
        <v>37304877.080000006</v>
      </c>
      <c r="AU20" s="83">
        <v>47063932.520000003</v>
      </c>
      <c r="AV20" s="78">
        <f>'SEGMENTY I'!AV20-'SEGMENTY I'!AW20</f>
        <v>9386387.7200000137</v>
      </c>
      <c r="AW20" s="79">
        <f>'SEGMENTY I'!AW20-'SEGMENTY I'!AX20</f>
        <v>20622703.099999994</v>
      </c>
      <c r="AX20" s="78">
        <f>'SEGMENTY I'!AX20-'SEGMENTY I'!AY20</f>
        <v>33072789.419999994</v>
      </c>
      <c r="AY20" s="83">
        <v>37782949.68</v>
      </c>
      <c r="AZ20" s="78">
        <f>'SEGMENTY I'!AZ20-'SEGMENTY I'!BA20</f>
        <v>11327374.25</v>
      </c>
      <c r="BA20" s="79">
        <f>'SEGMENTY I'!BA20-'SEGMENTY I'!BB20</f>
        <v>8200638.9099999964</v>
      </c>
      <c r="BB20" s="78">
        <f>'SEGMENTY I'!BB20-'SEGMENTY I'!BC20</f>
        <v>41961454.120000005</v>
      </c>
      <c r="BC20" s="82">
        <v>38271978.989999995</v>
      </c>
    </row>
    <row r="21" spans="1:55" ht="27.9" customHeight="1">
      <c r="A21" s="144"/>
      <c r="B21" s="213"/>
      <c r="C21" s="80"/>
      <c r="D21" s="213"/>
      <c r="E21" s="79"/>
      <c r="F21" s="213"/>
      <c r="G21" s="80"/>
      <c r="H21" s="213"/>
      <c r="I21" s="79"/>
      <c r="J21" s="213"/>
      <c r="K21" s="80"/>
      <c r="L21" s="213"/>
      <c r="M21" s="79"/>
      <c r="N21" s="213"/>
      <c r="O21" s="80"/>
      <c r="P21" s="213"/>
      <c r="Q21" s="79"/>
      <c r="R21" s="213"/>
      <c r="S21" s="80"/>
      <c r="T21" s="213"/>
      <c r="U21" s="79"/>
      <c r="V21" s="213"/>
      <c r="W21" s="80"/>
      <c r="X21" s="213"/>
      <c r="Y21" s="79"/>
      <c r="Z21" s="213"/>
      <c r="AA21" s="80"/>
      <c r="AB21" s="478"/>
      <c r="AC21" s="79"/>
      <c r="AD21" s="213"/>
      <c r="AE21" s="80"/>
      <c r="AF21" s="213"/>
      <c r="AG21" s="79"/>
      <c r="AH21" s="213"/>
      <c r="AI21" s="80"/>
      <c r="AJ21" s="213"/>
      <c r="AK21" s="79"/>
      <c r="AL21" s="213"/>
      <c r="AM21" s="80"/>
      <c r="AN21" s="233"/>
      <c r="AO21" s="79"/>
      <c r="AP21" s="213"/>
      <c r="AQ21" s="80"/>
      <c r="AR21" s="78"/>
      <c r="AS21" s="79"/>
      <c r="AT21" s="78"/>
      <c r="AU21" s="80"/>
      <c r="AV21" s="78"/>
      <c r="AW21" s="79"/>
      <c r="AX21" s="78"/>
      <c r="AY21" s="80"/>
      <c r="AZ21" s="78"/>
      <c r="BA21" s="79"/>
      <c r="BB21" s="78"/>
      <c r="BC21" s="79"/>
    </row>
    <row r="22" spans="1:55" ht="27.9" customHeight="1">
      <c r="A22" s="145" t="s">
        <v>110</v>
      </c>
      <c r="B22" s="214">
        <f>'SEGMENTY I'!B22-'SEGMENTY I'!C22</f>
        <v>38366918.850000001</v>
      </c>
      <c r="C22" s="494">
        <f>'SEGMENTY I'!C22</f>
        <v>49756692.100000001</v>
      </c>
      <c r="D22" s="214">
        <v>34412193.349999994</v>
      </c>
      <c r="E22" s="218">
        <v>22343086.279999997</v>
      </c>
      <c r="F22" s="214">
        <v>39551691.950000003</v>
      </c>
      <c r="G22" s="494">
        <v>44344856.949999996</v>
      </c>
      <c r="H22" s="214">
        <v>24043500.039999988</v>
      </c>
      <c r="I22" s="218">
        <v>18076167.300000008</v>
      </c>
      <c r="J22" s="214">
        <v>35511097.740000002</v>
      </c>
      <c r="K22" s="494">
        <v>40315273.369999997</v>
      </c>
      <c r="L22" s="214">
        <v>20323481.82</v>
      </c>
      <c r="M22" s="218">
        <v>22936768.900000006</v>
      </c>
      <c r="N22" s="214">
        <v>40074328.269999996</v>
      </c>
      <c r="O22" s="494">
        <v>44049968.160000004</v>
      </c>
      <c r="P22" s="214">
        <v>16856397.020000011</v>
      </c>
      <c r="Q22" s="218">
        <v>19433179.449999996</v>
      </c>
      <c r="R22" s="214">
        <v>26899150.760000005</v>
      </c>
      <c r="S22" s="494">
        <v>29294253.439999998</v>
      </c>
      <c r="T22" s="214">
        <v>10511388.179999992</v>
      </c>
      <c r="U22" s="218">
        <v>12019819.480000002</v>
      </c>
      <c r="V22" s="214">
        <v>23556973.609999999</v>
      </c>
      <c r="W22" s="494">
        <v>34357040.789999999</v>
      </c>
      <c r="X22" s="214">
        <v>20297715.279999994</v>
      </c>
      <c r="Y22" s="82">
        <v>13487469.439999998</v>
      </c>
      <c r="Z22" s="214">
        <v>29498040.450000003</v>
      </c>
      <c r="AA22" s="83">
        <v>27132782.130000003</v>
      </c>
      <c r="AB22" s="214">
        <v>14637891.329999998</v>
      </c>
      <c r="AC22" s="218">
        <v>11049169.210000001</v>
      </c>
      <c r="AD22" s="214">
        <v>30472033.940000001</v>
      </c>
      <c r="AE22" s="83">
        <v>32242496.469999999</v>
      </c>
      <c r="AF22" s="214">
        <v>15352635.173789913</v>
      </c>
      <c r="AG22" s="218">
        <v>15827455.049999999</v>
      </c>
      <c r="AH22" s="214">
        <v>34882320.019999996</v>
      </c>
      <c r="AI22" s="83">
        <v>34372037.380000003</v>
      </c>
      <c r="AJ22" s="214">
        <v>17200593.41</v>
      </c>
      <c r="AK22" s="218">
        <v>13874847.689999998</v>
      </c>
      <c r="AL22" s="214">
        <v>26259381.879999995</v>
      </c>
      <c r="AM22" s="83">
        <v>36849826.549999997</v>
      </c>
      <c r="AN22" s="232">
        <v>15368492.460000001</v>
      </c>
      <c r="AO22" s="218">
        <v>16502606.830000008</v>
      </c>
      <c r="AP22" s="214">
        <v>31848284.239999995</v>
      </c>
      <c r="AQ22" s="83">
        <v>39441240.359999999</v>
      </c>
      <c r="AR22" s="78">
        <v>16740797.640000015</v>
      </c>
      <c r="AS22" s="79">
        <v>13219434.109999985</v>
      </c>
      <c r="AT22" s="78">
        <v>29783787.390000008</v>
      </c>
      <c r="AU22" s="83">
        <v>41245029.979999997</v>
      </c>
      <c r="AV22" s="78">
        <v>12816972.741276398</v>
      </c>
      <c r="AW22" s="79">
        <v>23434315.899999999</v>
      </c>
      <c r="AX22" s="78">
        <v>28171979.269999996</v>
      </c>
      <c r="AY22" s="83">
        <v>34506221.630000003</v>
      </c>
      <c r="AZ22" s="78">
        <v>17325061.269999996</v>
      </c>
      <c r="BA22" s="79">
        <v>9947098.0699999928</v>
      </c>
      <c r="BB22" s="78">
        <v>38020507.910000011</v>
      </c>
      <c r="BC22" s="82">
        <v>33280802.989999998</v>
      </c>
    </row>
    <row r="23" spans="1:55" ht="27.9" customHeight="1">
      <c r="A23" s="144"/>
      <c r="B23" s="213"/>
      <c r="C23" s="80"/>
      <c r="D23" s="213"/>
      <c r="E23" s="79"/>
      <c r="F23" s="213"/>
      <c r="G23" s="80"/>
      <c r="H23" s="213"/>
      <c r="I23" s="79"/>
      <c r="J23" s="213"/>
      <c r="K23" s="80"/>
      <c r="L23" s="213"/>
      <c r="M23" s="79"/>
      <c r="N23" s="213"/>
      <c r="O23" s="80"/>
      <c r="P23" s="213"/>
      <c r="Q23" s="79"/>
      <c r="R23" s="213"/>
      <c r="S23" s="80"/>
      <c r="T23" s="213"/>
      <c r="U23" s="79"/>
      <c r="V23" s="213"/>
      <c r="W23" s="80"/>
      <c r="X23" s="213"/>
      <c r="Y23" s="79"/>
      <c r="Z23" s="213"/>
      <c r="AA23" s="80"/>
      <c r="AB23" s="478"/>
      <c r="AC23" s="79"/>
      <c r="AD23" s="213"/>
      <c r="AE23" s="80"/>
      <c r="AF23" s="213"/>
      <c r="AG23" s="79"/>
      <c r="AH23" s="213"/>
      <c r="AI23" s="80"/>
      <c r="AJ23" s="213"/>
      <c r="AK23" s="79"/>
      <c r="AL23" s="213"/>
      <c r="AM23" s="80"/>
      <c r="AN23" s="231"/>
      <c r="AO23" s="79"/>
      <c r="AP23" s="213"/>
      <c r="AQ23" s="80"/>
      <c r="AR23" s="78"/>
      <c r="AS23" s="79"/>
      <c r="AT23" s="78"/>
      <c r="AU23" s="80"/>
      <c r="AV23" s="78"/>
      <c r="AW23" s="79"/>
      <c r="AX23" s="78"/>
      <c r="AY23" s="80"/>
      <c r="AZ23" s="78"/>
      <c r="BA23" s="79"/>
      <c r="BB23" s="78"/>
      <c r="BC23" s="79"/>
    </row>
    <row r="24" spans="1:55" ht="27.9" customHeight="1">
      <c r="A24" s="145" t="s">
        <v>111</v>
      </c>
      <c r="B24" s="214">
        <f t="shared" ref="B24" si="37">B20-B22</f>
        <v>6991103.3800000027</v>
      </c>
      <c r="C24" s="494">
        <f t="shared" ref="C24" si="38">C20-C22</f>
        <v>5990485.5399999991</v>
      </c>
      <c r="D24" s="214">
        <f t="shared" ref="D24:AA24" si="39">D20-D22</f>
        <v>-3647275.450000003</v>
      </c>
      <c r="E24" s="82">
        <f t="shared" si="39"/>
        <v>-350566.91999999806</v>
      </c>
      <c r="F24" s="214">
        <f t="shared" si="39"/>
        <v>8263036.3000000045</v>
      </c>
      <c r="G24" s="494">
        <f t="shared" si="39"/>
        <v>6934947.3599999994</v>
      </c>
      <c r="H24" s="214">
        <f t="shared" si="39"/>
        <v>-2573750.8299999796</v>
      </c>
      <c r="I24" s="82">
        <f t="shared" si="39"/>
        <v>-194932.39000001177</v>
      </c>
      <c r="J24" s="214">
        <f t="shared" si="39"/>
        <v>6956637.2399999946</v>
      </c>
      <c r="K24" s="494">
        <f t="shared" si="39"/>
        <v>8016152.7700000033</v>
      </c>
      <c r="L24" s="214">
        <f t="shared" si="39"/>
        <v>-2206113.8599999994</v>
      </c>
      <c r="M24" s="82">
        <f t="shared" si="39"/>
        <v>1681771.1699999869</v>
      </c>
      <c r="N24" s="214">
        <f t="shared" si="39"/>
        <v>11907920.070000008</v>
      </c>
      <c r="O24" s="494">
        <f t="shared" si="39"/>
        <v>8031068.3299999908</v>
      </c>
      <c r="P24" s="214">
        <f t="shared" si="39"/>
        <v>-1446953.0600000136</v>
      </c>
      <c r="Q24" s="82">
        <f t="shared" si="39"/>
        <v>2279213.0500000007</v>
      </c>
      <c r="R24" s="214">
        <f t="shared" si="39"/>
        <v>6118410.1999999955</v>
      </c>
      <c r="S24" s="494">
        <f t="shared" si="39"/>
        <v>3982280.4400000051</v>
      </c>
      <c r="T24" s="214">
        <f t="shared" si="39"/>
        <v>-2076569.0299999826</v>
      </c>
      <c r="U24" s="82">
        <f t="shared" si="39"/>
        <v>-345203.92000000738</v>
      </c>
      <c r="V24" s="214">
        <f t="shared" si="39"/>
        <v>5819773.5900000036</v>
      </c>
      <c r="W24" s="494">
        <f t="shared" si="39"/>
        <v>6094367.450000003</v>
      </c>
      <c r="X24" s="214">
        <f t="shared" si="39"/>
        <v>-1117532.479999993</v>
      </c>
      <c r="Y24" s="82">
        <f t="shared" si="39"/>
        <v>-964269.3200000003</v>
      </c>
      <c r="Z24" s="214">
        <f t="shared" si="39"/>
        <v>4949700.9799999967</v>
      </c>
      <c r="AA24" s="83">
        <f t="shared" si="39"/>
        <v>4163964.0699999966</v>
      </c>
      <c r="AB24" s="214">
        <f>'SEGMENTY I'!AB24-'SEGMENTY I'!AC24</f>
        <v>-2306506.1099999994</v>
      </c>
      <c r="AC24" s="218">
        <f>'SEGMENTY I'!AC24-'SEGMENTY I'!AD24</f>
        <v>-1627070.6000000015</v>
      </c>
      <c r="AD24" s="214">
        <f t="shared" ref="AD24:AP24" si="40">AD20-AD22</f>
        <v>1905343.6300000027</v>
      </c>
      <c r="AE24" s="83">
        <f t="shared" si="40"/>
        <v>2974207.9600000009</v>
      </c>
      <c r="AF24" s="214">
        <f t="shared" si="40"/>
        <v>-4038285.1237899307</v>
      </c>
      <c r="AG24" s="218">
        <f t="shared" si="40"/>
        <v>-1701517.3999999855</v>
      </c>
      <c r="AH24" s="214">
        <f t="shared" si="40"/>
        <v>3290021.3800000027</v>
      </c>
      <c r="AI24" s="83">
        <f t="shared" si="40"/>
        <v>4053566.3299999982</v>
      </c>
      <c r="AJ24" s="214">
        <f t="shared" si="40"/>
        <v>-3249791.6899999902</v>
      </c>
      <c r="AK24" s="218">
        <f t="shared" si="40"/>
        <v>-2163881.1299999971</v>
      </c>
      <c r="AL24" s="214">
        <f t="shared" si="40"/>
        <v>3687899.75</v>
      </c>
      <c r="AM24" s="83">
        <f t="shared" si="40"/>
        <v>5721891.6099999994</v>
      </c>
      <c r="AN24" s="232">
        <f t="shared" si="40"/>
        <v>-3213065.870000001</v>
      </c>
      <c r="AO24" s="218">
        <f t="shared" si="40"/>
        <v>-5826516.4300000016</v>
      </c>
      <c r="AP24" s="214">
        <f t="shared" si="40"/>
        <v>4703807</v>
      </c>
      <c r="AQ24" s="83">
        <v>3580531.51</v>
      </c>
      <c r="AR24" s="78">
        <f>'SEGMENTY I'!AR24-'SEGMENTY I'!AS24</f>
        <v>-3940262.3500000276</v>
      </c>
      <c r="AS24" s="79">
        <f>'SEGMENTY I'!AS24-'SEGMENTY I'!AT24</f>
        <v>-3454873.6499999762</v>
      </c>
      <c r="AT24" s="78">
        <f>'SEGMENTY I'!AT24-'SEGMENTY I'!AU24</f>
        <v>7521089.6899999976</v>
      </c>
      <c r="AU24" s="83">
        <v>5818902.5400000066</v>
      </c>
      <c r="AV24" s="78">
        <f>'SEGMENTY I'!AV24-'SEGMENTY I'!AW24</f>
        <v>-3430585.0212763939</v>
      </c>
      <c r="AW24" s="79">
        <f>'SEGMENTY I'!AW24-'SEGMENTY I'!AX24</f>
        <v>-2811612.8</v>
      </c>
      <c r="AX24" s="78">
        <f>'SEGMENTY I'!AX24-'SEGMENTY I'!AY24</f>
        <v>4900810.1500000004</v>
      </c>
      <c r="AY24" s="83">
        <v>3276728.05</v>
      </c>
      <c r="AZ24" s="78">
        <f>'SEGMENTY I'!AZ24-'SEGMENTY I'!BA24</f>
        <v>-5997687.0199999996</v>
      </c>
      <c r="BA24" s="79">
        <f>'SEGMENTY I'!BA24-'SEGMENTY I'!BB24</f>
        <v>-1746459.1600000011</v>
      </c>
      <c r="BB24" s="78">
        <f>'SEGMENTY I'!BB24-'SEGMENTY I'!BC24</f>
        <v>3940946.2100000009</v>
      </c>
      <c r="BC24" s="82">
        <v>4991176</v>
      </c>
    </row>
    <row r="25" spans="1:55" ht="27.9" customHeight="1">
      <c r="E25" s="473"/>
      <c r="I25" s="473"/>
      <c r="K25"/>
      <c r="M25" s="473"/>
      <c r="Q25" s="473"/>
      <c r="U25" s="473"/>
      <c r="Y25" s="9"/>
      <c r="AA25" s="9"/>
    </row>
    <row r="26" spans="1:55" ht="27.9" customHeight="1">
      <c r="E26" s="473"/>
      <c r="I26" s="473"/>
      <c r="K26"/>
      <c r="M26" s="473"/>
      <c r="Q26" s="473"/>
      <c r="U26" s="5"/>
      <c r="Y26" s="9"/>
      <c r="AA26" s="9"/>
    </row>
    <row r="27" spans="1:55" ht="27.9" customHeight="1">
      <c r="A27" s="370" t="s">
        <v>148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532" t="s">
        <v>139</v>
      </c>
      <c r="X27" s="532"/>
      <c r="Y27" s="532"/>
      <c r="Z27" s="532"/>
      <c r="AA27" s="532"/>
      <c r="AB27" s="532"/>
      <c r="AC27" s="532"/>
      <c r="AD27" s="532"/>
      <c r="AE27" s="532"/>
      <c r="AF27" s="532"/>
      <c r="AG27" s="532"/>
      <c r="AH27" s="532"/>
      <c r="AI27" s="532"/>
      <c r="AJ27" s="532"/>
      <c r="AK27" s="532"/>
      <c r="AL27" s="532"/>
      <c r="AM27" s="532"/>
      <c r="AN27" s="532"/>
      <c r="AO27" s="532"/>
      <c r="AP27" s="532"/>
      <c r="AQ27" s="532"/>
      <c r="AR27" s="532"/>
    </row>
    <row r="28" spans="1:55" ht="27.9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212"/>
      <c r="AC28" s="5"/>
      <c r="AD28" s="212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55" ht="27.9" customHeight="1">
      <c r="A29" s="142"/>
      <c r="B29" s="216" t="s">
        <v>288</v>
      </c>
      <c r="C29" s="360" t="str">
        <f>C5</f>
        <v>IQ25</v>
      </c>
      <c r="D29" s="216" t="str">
        <f>D17</f>
        <v>IVQ 24</v>
      </c>
      <c r="E29" s="361" t="s">
        <v>279</v>
      </c>
      <c r="F29" s="216" t="s">
        <v>277</v>
      </c>
      <c r="G29" s="360" t="str">
        <f>G5</f>
        <v>IQ24</v>
      </c>
      <c r="H29" s="216" t="str">
        <f>H17</f>
        <v>IVQ 23</v>
      </c>
      <c r="I29" s="361" t="s">
        <v>269</v>
      </c>
      <c r="J29" s="216" t="s">
        <v>267</v>
      </c>
      <c r="K29" s="360" t="str">
        <f>K5</f>
        <v>IQ23</v>
      </c>
      <c r="L29" s="216" t="s">
        <v>257</v>
      </c>
      <c r="M29" s="361" t="s">
        <v>255</v>
      </c>
      <c r="N29" s="216" t="s">
        <v>250</v>
      </c>
      <c r="O29" s="360" t="str">
        <f>O5</f>
        <v>IQ22</v>
      </c>
      <c r="P29" s="216" t="s">
        <v>246</v>
      </c>
      <c r="Q29" s="361" t="s">
        <v>244</v>
      </c>
      <c r="R29" s="216" t="s">
        <v>240</v>
      </c>
      <c r="S29" s="360" t="str">
        <f>S5</f>
        <v>IQ21</v>
      </c>
      <c r="T29" s="216" t="s">
        <v>236</v>
      </c>
      <c r="U29" s="361" t="s">
        <v>233</v>
      </c>
      <c r="V29" s="216" t="s">
        <v>228</v>
      </c>
      <c r="W29" s="360" t="s">
        <v>226</v>
      </c>
      <c r="X29" s="216" t="s">
        <v>221</v>
      </c>
      <c r="Y29" s="361" t="s">
        <v>217</v>
      </c>
      <c r="Z29" s="216" t="s">
        <v>215</v>
      </c>
      <c r="AA29" s="360" t="s">
        <v>213</v>
      </c>
      <c r="AB29" s="216" t="s">
        <v>209</v>
      </c>
      <c r="AC29" s="72" t="s">
        <v>207</v>
      </c>
      <c r="AD29" s="216" t="s">
        <v>204</v>
      </c>
      <c r="AE29" s="215" t="s">
        <v>202</v>
      </c>
      <c r="AF29" s="216" t="s">
        <v>200</v>
      </c>
      <c r="AG29" s="72" t="s">
        <v>199</v>
      </c>
      <c r="AH29" s="216" t="s">
        <v>193</v>
      </c>
      <c r="AI29" s="215" t="s">
        <v>190</v>
      </c>
      <c r="AJ29" s="216" t="s">
        <v>189</v>
      </c>
      <c r="AK29" s="72" t="s">
        <v>188</v>
      </c>
      <c r="AL29" s="216" t="s">
        <v>186</v>
      </c>
      <c r="AM29" s="215" t="s">
        <v>183</v>
      </c>
      <c r="AN29" s="230" t="s">
        <v>182</v>
      </c>
      <c r="AO29" s="72" t="s">
        <v>180</v>
      </c>
      <c r="AP29" s="216" t="s">
        <v>177</v>
      </c>
      <c r="AQ29" s="215" t="s">
        <v>155</v>
      </c>
      <c r="AR29" s="71" t="s">
        <v>116</v>
      </c>
      <c r="AS29" s="72" t="s">
        <v>25</v>
      </c>
      <c r="AT29" s="71" t="s">
        <v>26</v>
      </c>
      <c r="AU29" s="74" t="s">
        <v>16</v>
      </c>
      <c r="AV29" s="71" t="s">
        <v>27</v>
      </c>
      <c r="AW29" s="72" t="s">
        <v>28</v>
      </c>
      <c r="AX29" s="71" t="s">
        <v>29</v>
      </c>
      <c r="AY29" s="74" t="s">
        <v>20</v>
      </c>
      <c r="AZ29" s="71" t="s">
        <v>30</v>
      </c>
      <c r="BA29" s="72" t="s">
        <v>31</v>
      </c>
      <c r="BB29" s="71" t="s">
        <v>32</v>
      </c>
      <c r="BC29" s="72" t="s">
        <v>24</v>
      </c>
    </row>
    <row r="30" spans="1:55" ht="27.9" customHeight="1">
      <c r="A30" s="143" t="s">
        <v>112</v>
      </c>
      <c r="B30" s="217">
        <f>'SEGMENTY I'!B30-'SEGMENTY I'!C30</f>
        <v>124581596.62000002</v>
      </c>
      <c r="C30" s="366">
        <f>'SEGMENTY I'!C30</f>
        <v>22718285.360000003</v>
      </c>
      <c r="D30" s="217">
        <f>'SEGMENTY I'!D30-'SEGMENTY I'!E30</f>
        <v>102062065.43000001</v>
      </c>
      <c r="E30" s="79">
        <f>'SEGMENTY I'!E30-'SEGMENTY I'!F30</f>
        <v>97315013.299999982</v>
      </c>
      <c r="F30" s="217">
        <f>'SEGMENTY I'!F30-'SEGMENTY I'!G30</f>
        <v>27759751.360000003</v>
      </c>
      <c r="G30" s="366">
        <f>'SEGMENTY I'!G30</f>
        <v>18120748.190000001</v>
      </c>
      <c r="H30" s="217">
        <f>'SEGMENTY I'!H30-'SEGMENTY I'!I30</f>
        <v>121736326.89</v>
      </c>
      <c r="I30" s="79">
        <f>'SEGMENTY I'!I30-'SEGMENTY I'!J30</f>
        <v>15284771.170000002</v>
      </c>
      <c r="J30" s="217">
        <f>'SEGMENTY I'!J30-'SEGMENTY I'!K30</f>
        <v>1079276.5299999993</v>
      </c>
      <c r="K30" s="366">
        <f>'SEGMENTY I'!K30</f>
        <v>4238420.8100000005</v>
      </c>
      <c r="L30" s="217">
        <f>'SEGMENTY I'!L30-'SEGMENTY I'!M30</f>
        <v>28306194.640000001</v>
      </c>
      <c r="M30" s="79">
        <f>'SEGMENTY I'!M30-'SEGMENTY I'!N30</f>
        <v>2601557.1699999981</v>
      </c>
      <c r="N30" s="217">
        <f>'SEGMENTY I'!N30-'SEGMENTY I'!O30</f>
        <v>10407049.950000003</v>
      </c>
      <c r="O30" s="366">
        <f>'SEGMENTY I'!O30</f>
        <v>18095473.27</v>
      </c>
      <c r="P30" s="217">
        <f>'SEGMENTY I'!P30-'SEGMENTY I'!Q30</f>
        <v>31360333.869999997</v>
      </c>
      <c r="Q30" s="79">
        <f>'SEGMENTY I'!Q30-'SEGMENTY I'!R30</f>
        <v>767865.15000000037</v>
      </c>
      <c r="R30" s="217">
        <f>'SEGMENTY I'!R30-'SEGMENTY I'!S30</f>
        <v>1590186.4799999997</v>
      </c>
      <c r="S30" s="366">
        <f>'SEGMENTY I'!S30</f>
        <v>1561005.01</v>
      </c>
      <c r="T30" s="217">
        <f>'SEGMENTY I'!T30-'SEGMENTY I'!U30</f>
        <v>22382185.82</v>
      </c>
      <c r="U30" s="79">
        <f>'SEGMENTY I'!U30-'SEGMENTY I'!V30</f>
        <v>2692938.4600000009</v>
      </c>
      <c r="V30" s="217">
        <f>'SEGMENTY I'!V30-'SEGMENTY I'!W30</f>
        <v>10348496.780000001</v>
      </c>
      <c r="W30" s="366">
        <f>'SEGMENTY I'!W30</f>
        <v>769035.03999999992</v>
      </c>
      <c r="X30" s="217">
        <f>'SEGMENTY I'!X30-'SEGMENTY I'!Y30</f>
        <v>23477822.130000006</v>
      </c>
      <c r="Y30" s="367">
        <f>'SEGMENTY I'!Y30-'SEGMENTY I'!Z30</f>
        <v>1552234.1399999969</v>
      </c>
      <c r="Z30" s="217">
        <f>'SEGMENTY I'!Z30-'SEGMENTY I'!AA30</f>
        <v>7146213.4000000004</v>
      </c>
      <c r="AA30" s="366">
        <f>961546.89+14443695.99</f>
        <v>15405242.880000001</v>
      </c>
      <c r="AB30" s="477">
        <f>'SEGMENTY I'!AB30-'SEGMENTY I'!AC30</f>
        <v>36208003.25</v>
      </c>
      <c r="AC30" s="219">
        <f>'SEGMENTY I'!AC30-'SEGMENTY I'!AD30</f>
        <v>12040202.780000003</v>
      </c>
      <c r="AD30" s="217">
        <f>'SEGMENTY I'!AD30-'SEGMENTY I'!AE30</f>
        <v>2370548.1199999992</v>
      </c>
      <c r="AE30" s="77">
        <f>'SEGMENTY I'!AE30</f>
        <v>2520850.16</v>
      </c>
      <c r="AF30" s="217">
        <f>'SEGMENTY I'!AF30-'SEGMENTY I'!AG30</f>
        <v>27584412.090000011</v>
      </c>
      <c r="AG30" s="219">
        <f>'SEGMENTY I'!AG30-'SEGMENTY I'!AH30</f>
        <v>3186699.9599999934</v>
      </c>
      <c r="AH30" s="217">
        <f>'SEGMENTY I'!AH30-'SEGMENTY I'!AI30</f>
        <v>3935660.53</v>
      </c>
      <c r="AI30" s="77">
        <f>'SEGMENTY I'!AI30</f>
        <v>2903304.23</v>
      </c>
      <c r="AJ30" s="217">
        <f>'SEGMENTY I'!AJ30-'SEGMENTY I'!AK30</f>
        <v>30220417.470000006</v>
      </c>
      <c r="AK30" s="219">
        <f>'SEGMENTY I'!AK30-'SEGMENTY I'!AL30</f>
        <v>6360365.0099999979</v>
      </c>
      <c r="AL30" s="217">
        <f>'SEGMENTY I'!AL30-'SEGMENTY I'!AM30</f>
        <v>16898725.950000003</v>
      </c>
      <c r="AM30" s="77">
        <f>'SEGMENTY I'!AM30</f>
        <v>5949873.9699999997</v>
      </c>
      <c r="AN30" s="231">
        <f>'SEGMENTY I'!AN30-'SEGMENTY I'!AO30</f>
        <v>24482446.350000001</v>
      </c>
      <c r="AO30" s="219">
        <f>'SEGMENTY I'!AO30-'SEGMENTY I'!AP30</f>
        <v>7219803.0399999991</v>
      </c>
      <c r="AP30" s="217">
        <f>'SEGMENTY I'!AP30-'SEGMENTY I'!AQ30</f>
        <v>7622579.3800000008</v>
      </c>
      <c r="AQ30" s="77">
        <v>4579654.01</v>
      </c>
      <c r="AR30" s="75">
        <f>'SEGMENTY I'!AR30-'SEGMENTY I'!AS30</f>
        <v>21644114.790000007</v>
      </c>
      <c r="AS30" s="76">
        <f>'SEGMENTY I'!AS30-'SEGMENTY I'!AT30</f>
        <v>10385750.949999996</v>
      </c>
      <c r="AT30" s="75">
        <f>'SEGMENTY I'!AT30-'SEGMENTY I'!AU30</f>
        <v>1759979.3499999999</v>
      </c>
      <c r="AU30" s="77">
        <v>1249686.26</v>
      </c>
      <c r="AV30" s="75">
        <f>'SEGMENTY I'!AV30-'SEGMENTY I'!AW30</f>
        <v>16538864.210000001</v>
      </c>
      <c r="AW30" s="76">
        <f>'SEGMENTY I'!AW30-'SEGMENTY I'!AX30</f>
        <v>2683497.6</v>
      </c>
      <c r="AX30" s="75">
        <f>'SEGMENTY I'!AX30-'SEGMENTY I'!AY30</f>
        <v>1476550.6099999999</v>
      </c>
      <c r="AY30" s="77">
        <v>1482749.54</v>
      </c>
      <c r="AZ30" s="75">
        <f>'SEGMENTY I'!AZ30-'SEGMENTY I'!BA30</f>
        <v>12321005.199999999</v>
      </c>
      <c r="BA30" s="76">
        <f>'SEGMENTY I'!BA30-'SEGMENTY I'!BB30</f>
        <v>3290000</v>
      </c>
      <c r="BB30" s="75">
        <f>'SEGMENTY I'!BB30-'SEGMENTY I'!BC30</f>
        <v>465000</v>
      </c>
      <c r="BC30" s="76">
        <v>368000</v>
      </c>
    </row>
    <row r="31" spans="1:55" ht="27.9" customHeight="1">
      <c r="A31" s="144" t="s">
        <v>108</v>
      </c>
      <c r="B31" s="213">
        <f>'SEGMENTY I'!B31-'SEGMENTY I'!C31</f>
        <v>0</v>
      </c>
      <c r="C31" s="80">
        <f>'SEGMENTY I'!C31</f>
        <v>0</v>
      </c>
      <c r="D31" s="213">
        <f>'SEGMENTY I'!D31-'SEGMENTY I'!E31</f>
        <v>8928.9000000000015</v>
      </c>
      <c r="E31" s="79">
        <f>'SEGMENTY I'!E31-'SEGMENTY I'!F31</f>
        <v>33</v>
      </c>
      <c r="F31" s="213">
        <f>'SEGMENTY I'!F31-'SEGMENTY I'!G31</f>
        <v>52189.35</v>
      </c>
      <c r="G31" s="80">
        <f>'SEGMENTY I'!G31</f>
        <v>0</v>
      </c>
      <c r="H31" s="213">
        <f>'SEGMENTY I'!H31-'SEGMENTY I'!I31</f>
        <v>0</v>
      </c>
      <c r="I31" s="79">
        <f>'SEGMENTY I'!I31-'SEGMENTY I'!J31</f>
        <v>0</v>
      </c>
      <c r="J31" s="213">
        <f>'SEGMENTY I'!J31-'SEGMENTY I'!K31</f>
        <v>0</v>
      </c>
      <c r="K31" s="80">
        <f>'SEGMENTY I'!K31</f>
        <v>0</v>
      </c>
      <c r="L31" s="213">
        <f>'SEGMENTY I'!L31-'SEGMENTY I'!M31</f>
        <v>5991.02</v>
      </c>
      <c r="M31" s="79">
        <f>'SEGMENTY I'!M31-'SEGMENTY I'!N31</f>
        <v>2433</v>
      </c>
      <c r="N31" s="213">
        <f>'SEGMENTY I'!N31-'SEGMENTY I'!O31</f>
        <v>0</v>
      </c>
      <c r="O31" s="80">
        <f>'SEGMENTY I'!O31</f>
        <v>0</v>
      </c>
      <c r="P31" s="213">
        <f>'SEGMENTY I'!P31-'SEGMENTY I'!Q31</f>
        <v>0</v>
      </c>
      <c r="Q31" s="79">
        <f>'SEGMENTY I'!Q31-'SEGMENTY I'!R31</f>
        <v>0</v>
      </c>
      <c r="R31" s="213">
        <f>'SEGMENTY I'!R31-'SEGMENTY I'!S31</f>
        <v>0</v>
      </c>
      <c r="S31" s="80">
        <f>'SEGMENTY I'!S31</f>
        <v>0</v>
      </c>
      <c r="T31" s="213">
        <f>'SEGMENTY I'!T31-'SEGMENTY I'!U31</f>
        <v>0</v>
      </c>
      <c r="U31" s="79">
        <f>'SEGMENTY I'!U31-'SEGMENTY I'!V31</f>
        <v>0</v>
      </c>
      <c r="V31" s="213">
        <f>'SEGMENTY I'!V31-'SEGMENTY I'!W31</f>
        <v>47244.52</v>
      </c>
      <c r="W31" s="80">
        <f>'SEGMENTY I'!W31</f>
        <v>130.65</v>
      </c>
      <c r="X31" s="213">
        <f>'SEGMENTY I'!X31-'SEGMENTY I'!Y31</f>
        <v>26045.579999999987</v>
      </c>
      <c r="Y31" s="79">
        <f>'SEGMENTY I'!Y31-'SEGMENTY I'!Z31</f>
        <v>7560.5699999999779</v>
      </c>
      <c r="Z31" s="213">
        <f>'SEGMENTY I'!Z31-'SEGMENTY I'!AA31</f>
        <v>2881.8699999999953</v>
      </c>
      <c r="AA31" s="80">
        <f>2130.76+198734.76</f>
        <v>200865.52000000002</v>
      </c>
      <c r="AB31" s="478">
        <f>'SEGMENTY I'!AB31-'SEGMENTY I'!AC31</f>
        <v>874292.30000000028</v>
      </c>
      <c r="AC31" s="79">
        <f>'SEGMENTY I'!AC31-'SEGMENTY I'!AD31</f>
        <v>1612903.8199999998</v>
      </c>
      <c r="AD31" s="213">
        <f>'SEGMENTY I'!AD31-'SEGMENTY I'!AE31</f>
        <v>72540.010000000009</v>
      </c>
      <c r="AE31" s="80">
        <f>'SEGMENTY I'!AE31</f>
        <v>807589.28999999992</v>
      </c>
      <c r="AF31" s="213">
        <f>'SEGMENTY I'!AF31-'SEGMENTY I'!AG31</f>
        <v>275838.20999999996</v>
      </c>
      <c r="AG31" s="79">
        <f>'SEGMENTY I'!AG31-'SEGMENTY I'!AH31</f>
        <v>71413.489999999991</v>
      </c>
      <c r="AH31" s="213">
        <f>'SEGMENTY I'!AH31-'SEGMENTY I'!AI31</f>
        <v>144043.53999999998</v>
      </c>
      <c r="AI31" s="80">
        <f>'SEGMENTY I'!AI31</f>
        <v>122884.7</v>
      </c>
      <c r="AJ31" s="213">
        <f>'SEGMENTY I'!AJ31-'SEGMENTY I'!AK31</f>
        <v>41289.360000000044</v>
      </c>
      <c r="AK31" s="79">
        <f>'SEGMENTY I'!AK31-'SEGMENTY I'!AL31</f>
        <v>1635.320000000007</v>
      </c>
      <c r="AL31" s="213">
        <f>'SEGMENTY I'!AL31-'SEGMENTY I'!AM31</f>
        <v>-99905.210000000021</v>
      </c>
      <c r="AM31" s="80">
        <f>'SEGMENTY I'!AM31</f>
        <v>488547.37</v>
      </c>
      <c r="AN31" s="231">
        <f>'SEGMENTY I'!AN31-'SEGMENTY I'!AO31</f>
        <v>687639.38</v>
      </c>
      <c r="AO31" s="79">
        <f>'SEGMENTY I'!AO31-'SEGMENTY I'!AP31</f>
        <v>-825659.39</v>
      </c>
      <c r="AP31" s="213">
        <f>'SEGMENTY I'!AP31-'SEGMENTY I'!AQ31</f>
        <v>832107.16</v>
      </c>
      <c r="AQ31" s="80">
        <v>0</v>
      </c>
      <c r="AR31" s="78">
        <f>'SEGMENTY I'!AR31-'SEGMENTY I'!AS31</f>
        <v>0</v>
      </c>
      <c r="AS31" s="79">
        <f>'SEGMENTY I'!AS31-'SEGMENTY I'!AT31</f>
        <v>0</v>
      </c>
      <c r="AT31" s="78">
        <f>'SEGMENTY I'!AT31-'SEGMENTY I'!AU31</f>
        <v>0</v>
      </c>
      <c r="AU31" s="80">
        <v>0</v>
      </c>
      <c r="AV31" s="78">
        <f>'SEGMENTY I'!AV31-'SEGMENTY I'!AW31</f>
        <v>0</v>
      </c>
      <c r="AW31" s="79">
        <f>'SEGMENTY I'!AW31-'SEGMENTY I'!AX31</f>
        <v>0</v>
      </c>
      <c r="AX31" s="78">
        <f>'SEGMENTY I'!AX31-'SEGMENTY I'!AY31</f>
        <v>0</v>
      </c>
      <c r="AY31" s="80">
        <v>0</v>
      </c>
      <c r="AZ31" s="78">
        <f>'SEGMENTY I'!AZ31-'SEGMENTY I'!BA31</f>
        <v>0</v>
      </c>
      <c r="BA31" s="79">
        <f>'SEGMENTY I'!BA31-'SEGMENTY I'!BB31</f>
        <v>0</v>
      </c>
      <c r="BB31" s="78">
        <f>'SEGMENTY I'!BB31-'SEGMENTY I'!BC31</f>
        <v>0</v>
      </c>
      <c r="BC31" s="79">
        <v>0</v>
      </c>
    </row>
    <row r="32" spans="1:55" ht="27.9" customHeight="1">
      <c r="A32" s="145" t="s">
        <v>109</v>
      </c>
      <c r="B32" s="214">
        <f t="shared" ref="B32" si="41">SUM(B30:B31)</f>
        <v>124581596.62000002</v>
      </c>
      <c r="C32" s="494">
        <f t="shared" ref="C32" si="42">SUM(C30:C31)</f>
        <v>22718285.360000003</v>
      </c>
      <c r="D32" s="214">
        <f t="shared" ref="D32" si="43">SUM(D30:D31)</f>
        <v>102070994.33000001</v>
      </c>
      <c r="E32" s="218">
        <f t="shared" ref="E32" si="44">SUM(E30:E31)</f>
        <v>97315046.299999982</v>
      </c>
      <c r="F32" s="214">
        <f t="shared" ref="F32" si="45">SUM(F30:F31)</f>
        <v>27811940.710000005</v>
      </c>
      <c r="G32" s="494">
        <f t="shared" ref="G32" si="46">SUM(G30:G31)</f>
        <v>18120748.190000001</v>
      </c>
      <c r="H32" s="214">
        <f t="shared" ref="H32" si="47">SUM(H30:H31)</f>
        <v>121736326.89</v>
      </c>
      <c r="I32" s="218">
        <f t="shared" ref="I32" si="48">SUM(I30:I31)</f>
        <v>15284771.170000002</v>
      </c>
      <c r="J32" s="214">
        <f t="shared" ref="J32" si="49">SUM(J30:J31)</f>
        <v>1079276.5299999993</v>
      </c>
      <c r="K32" s="494">
        <f t="shared" ref="K32" si="50">SUM(K30:K31)</f>
        <v>4238420.8100000005</v>
      </c>
      <c r="L32" s="214">
        <f t="shared" ref="L32" si="51">SUM(L30:L31)</f>
        <v>28312185.66</v>
      </c>
      <c r="M32" s="218">
        <f t="shared" ref="M32" si="52">SUM(M30:M31)</f>
        <v>2603990.1699999981</v>
      </c>
      <c r="N32" s="214">
        <f t="shared" ref="N32" si="53">SUM(N30:N31)</f>
        <v>10407049.950000003</v>
      </c>
      <c r="O32" s="494">
        <f t="shared" ref="O32" si="54">SUM(O30:O31)</f>
        <v>18095473.27</v>
      </c>
      <c r="P32" s="214">
        <f t="shared" ref="P32" si="55">SUM(P30:P31)</f>
        <v>31360333.869999997</v>
      </c>
      <c r="Q32" s="218">
        <f t="shared" ref="Q32" si="56">SUM(Q30:Q31)</f>
        <v>767865.15000000037</v>
      </c>
      <c r="R32" s="214">
        <f t="shared" ref="R32" si="57">SUM(R30:R31)</f>
        <v>1590186.4799999997</v>
      </c>
      <c r="S32" s="494">
        <f t="shared" ref="S32" si="58">SUM(S30:S31)</f>
        <v>1561005.01</v>
      </c>
      <c r="T32" s="214">
        <f t="shared" ref="T32" si="59">SUM(T30:T31)</f>
        <v>22382185.82</v>
      </c>
      <c r="U32" s="218">
        <f t="shared" ref="U32" si="60">SUM(U30:U31)</f>
        <v>2692938.4600000009</v>
      </c>
      <c r="V32" s="214">
        <f t="shared" ref="V32:AA32" si="61">SUM(V30:V31)</f>
        <v>10395741.300000001</v>
      </c>
      <c r="W32" s="494">
        <f t="shared" si="61"/>
        <v>769165.69</v>
      </c>
      <c r="X32" s="214">
        <f t="shared" si="61"/>
        <v>23503867.710000005</v>
      </c>
      <c r="Y32" s="82">
        <f t="shared" si="61"/>
        <v>1559794.7099999969</v>
      </c>
      <c r="Z32" s="214">
        <f t="shared" si="61"/>
        <v>7149095.2700000005</v>
      </c>
      <c r="AA32" s="83">
        <f t="shared" si="61"/>
        <v>15606108.4</v>
      </c>
      <c r="AB32" s="214">
        <f t="shared" ref="AB32:AC32" si="62">SUM(AB30:AB31)</f>
        <v>37082295.549999997</v>
      </c>
      <c r="AC32" s="218">
        <f t="shared" si="62"/>
        <v>13653106.600000003</v>
      </c>
      <c r="AD32" s="214">
        <f>SUM(AD30:AD31)</f>
        <v>2443088.129999999</v>
      </c>
      <c r="AE32" s="83">
        <f>SUM(AE30:AE31)</f>
        <v>3328439.45</v>
      </c>
      <c r="AF32" s="214">
        <f>AF30+AF31</f>
        <v>27860250.300000012</v>
      </c>
      <c r="AG32" s="218">
        <f>SUM(AG30:AG31)</f>
        <v>3258113.4499999937</v>
      </c>
      <c r="AH32" s="214">
        <f>AH30+AH31</f>
        <v>4079704.07</v>
      </c>
      <c r="AI32" s="83">
        <f>SUM(AI30:AI31)</f>
        <v>3026188.93</v>
      </c>
      <c r="AJ32" s="214">
        <f>AJ30+AJ31</f>
        <v>30261706.830000006</v>
      </c>
      <c r="AK32" s="218">
        <f>SUM(AK30:AK31)</f>
        <v>6362000.3299999982</v>
      </c>
      <c r="AL32" s="214">
        <f>AL30+AL31</f>
        <v>16798820.740000002</v>
      </c>
      <c r="AM32" s="83">
        <f>SUM(AM30:AM31)</f>
        <v>6438421.3399999999</v>
      </c>
      <c r="AN32" s="232">
        <f>AN30+AN31</f>
        <v>25170085.73</v>
      </c>
      <c r="AO32" s="218">
        <f>SUM(AO30:AO31)</f>
        <v>6394143.6499999994</v>
      </c>
      <c r="AP32" s="214">
        <f>AP30+AP31</f>
        <v>8454686.540000001</v>
      </c>
      <c r="AQ32" s="83">
        <v>4579654.01</v>
      </c>
      <c r="AR32" s="78">
        <f>'SEGMENTY I'!AR32-'SEGMENTY I'!AS32</f>
        <v>21644114.790000007</v>
      </c>
      <c r="AS32" s="79">
        <f>'SEGMENTY I'!AS32-'SEGMENTY I'!AT32</f>
        <v>10385750.949999996</v>
      </c>
      <c r="AT32" s="78">
        <f>'SEGMENTY I'!AT32-'SEGMENTY I'!AU32</f>
        <v>1759979.3499999999</v>
      </c>
      <c r="AU32" s="83">
        <v>1249686.26</v>
      </c>
      <c r="AV32" s="78">
        <f>'SEGMENTY I'!AV32-'SEGMENTY I'!AW32</f>
        <v>16538864.210000001</v>
      </c>
      <c r="AW32" s="79">
        <f>'SEGMENTY I'!AW32-'SEGMENTY I'!AX32</f>
        <v>2683497.6</v>
      </c>
      <c r="AX32" s="78">
        <f>'SEGMENTY I'!AX32-'SEGMENTY I'!AY32</f>
        <v>1476550.6099999999</v>
      </c>
      <c r="AY32" s="83">
        <v>1482749.54</v>
      </c>
      <c r="AZ32" s="78">
        <f>'SEGMENTY I'!AZ32-'SEGMENTY I'!BA32</f>
        <v>12321005.199999999</v>
      </c>
      <c r="BA32" s="79">
        <f>'SEGMENTY I'!BA32-'SEGMENTY I'!BB32</f>
        <v>3290000</v>
      </c>
      <c r="BB32" s="78">
        <f>'SEGMENTY I'!BB32-'SEGMENTY I'!BC32</f>
        <v>465000</v>
      </c>
      <c r="BC32" s="82">
        <v>368000</v>
      </c>
    </row>
    <row r="33" spans="1:55" ht="27.9" customHeight="1">
      <c r="A33" s="144"/>
      <c r="B33" s="213"/>
      <c r="C33" s="80"/>
      <c r="D33" s="213"/>
      <c r="E33" s="79"/>
      <c r="F33" s="213"/>
      <c r="G33" s="80"/>
      <c r="H33" s="213"/>
      <c r="I33" s="79"/>
      <c r="J33" s="213"/>
      <c r="K33" s="80"/>
      <c r="L33" s="213"/>
      <c r="M33" s="79"/>
      <c r="N33" s="213"/>
      <c r="O33" s="80"/>
      <c r="P33" s="213"/>
      <c r="Q33" s="79"/>
      <c r="R33" s="213"/>
      <c r="S33" s="80"/>
      <c r="T33" s="213"/>
      <c r="U33" s="79"/>
      <c r="V33" s="213"/>
      <c r="W33" s="80"/>
      <c r="X33" s="213"/>
      <c r="Y33" s="79"/>
      <c r="Z33" s="213"/>
      <c r="AA33" s="80"/>
      <c r="AB33" s="478"/>
      <c r="AC33" s="79"/>
      <c r="AD33" s="213"/>
      <c r="AE33" s="80"/>
      <c r="AF33" s="213"/>
      <c r="AG33" s="79"/>
      <c r="AH33" s="213"/>
      <c r="AI33" s="80"/>
      <c r="AJ33" s="213"/>
      <c r="AK33" s="79"/>
      <c r="AL33" s="213"/>
      <c r="AM33" s="80"/>
      <c r="AN33" s="233"/>
      <c r="AO33" s="79"/>
      <c r="AP33" s="213"/>
      <c r="AQ33" s="80"/>
      <c r="AR33" s="78"/>
      <c r="AS33" s="79"/>
      <c r="AT33" s="78"/>
      <c r="AU33" s="80"/>
      <c r="AV33" s="78"/>
      <c r="AW33" s="79"/>
      <c r="AX33" s="78"/>
      <c r="AY33" s="80"/>
      <c r="AZ33" s="78"/>
      <c r="BA33" s="79"/>
      <c r="BB33" s="78"/>
      <c r="BC33" s="79"/>
    </row>
    <row r="34" spans="1:55" ht="27.9" customHeight="1">
      <c r="A34" s="145" t="s">
        <v>110</v>
      </c>
      <c r="B34" s="214">
        <f>'SEGMENTY I'!B34-'SEGMENTY I'!C34</f>
        <v>92774437.840000004</v>
      </c>
      <c r="C34" s="494">
        <f>'SEGMENTY I'!C34</f>
        <v>20443955.84</v>
      </c>
      <c r="D34" s="214">
        <v>81250640.969999984</v>
      </c>
      <c r="E34" s="218">
        <v>76073758.25</v>
      </c>
      <c r="F34" s="214">
        <v>22656993.389999997</v>
      </c>
      <c r="G34" s="494">
        <v>15754863.359999999</v>
      </c>
      <c r="H34" s="214">
        <v>80726416.939999998</v>
      </c>
      <c r="I34" s="218">
        <v>16774883.34</v>
      </c>
      <c r="J34" s="214">
        <v>2943131.7199999988</v>
      </c>
      <c r="K34" s="494">
        <v>6200876.9800000004</v>
      </c>
      <c r="L34" s="214">
        <v>21227509.949999996</v>
      </c>
      <c r="M34" s="218">
        <v>5248049.0300000012</v>
      </c>
      <c r="N34" s="214">
        <v>11119510.51</v>
      </c>
      <c r="O34" s="494">
        <v>15544540.26</v>
      </c>
      <c r="P34" s="214">
        <v>29374347.629999995</v>
      </c>
      <c r="Q34" s="218">
        <v>2343052</v>
      </c>
      <c r="R34" s="214">
        <v>2798361.62</v>
      </c>
      <c r="S34" s="494">
        <v>2648128.63</v>
      </c>
      <c r="T34" s="214">
        <v>17845860.420000002</v>
      </c>
      <c r="U34" s="218">
        <v>3974207.8000000021</v>
      </c>
      <c r="V34" s="214">
        <v>8266508.459999999</v>
      </c>
      <c r="W34" s="494">
        <v>1941357.0699999998</v>
      </c>
      <c r="X34" s="214">
        <v>23324462.950000007</v>
      </c>
      <c r="Y34" s="82">
        <v>3894285.9600000009</v>
      </c>
      <c r="Z34" s="214">
        <v>7240023.0699999984</v>
      </c>
      <c r="AA34" s="83">
        <v>14267617.91</v>
      </c>
      <c r="AB34" s="214">
        <v>30269535.679999996</v>
      </c>
      <c r="AC34" s="218">
        <v>12575504.98</v>
      </c>
      <c r="AD34" s="214">
        <v>3676463.5851456802</v>
      </c>
      <c r="AE34" s="83">
        <v>5082107.2648543203</v>
      </c>
      <c r="AF34" s="214">
        <v>27046537.027432781</v>
      </c>
      <c r="AG34" s="218">
        <v>3723691.4274099437</v>
      </c>
      <c r="AH34" s="214">
        <v>5862922.056025397</v>
      </c>
      <c r="AI34" s="83">
        <v>4322345.672636006</v>
      </c>
      <c r="AJ34" s="214">
        <v>27879485.779999997</v>
      </c>
      <c r="AK34" s="218">
        <v>7867717.8900000034</v>
      </c>
      <c r="AL34" s="214">
        <v>14322563.529999999</v>
      </c>
      <c r="AM34" s="83">
        <v>6234958.8400000008</v>
      </c>
      <c r="AN34" s="232">
        <v>21036985.539999995</v>
      </c>
      <c r="AO34" s="218">
        <v>6639500.9900000012</v>
      </c>
      <c r="AP34" s="214">
        <v>9046463.9299999997</v>
      </c>
      <c r="AQ34" s="83">
        <v>5565163.54</v>
      </c>
      <c r="AR34" s="78">
        <v>20185498.479999997</v>
      </c>
      <c r="AS34" s="79">
        <v>10049715.25</v>
      </c>
      <c r="AT34" s="78">
        <v>2020643.4099999997</v>
      </c>
      <c r="AU34" s="83">
        <v>1875139.37</v>
      </c>
      <c r="AV34" s="78">
        <v>15563260.359254502</v>
      </c>
      <c r="AW34" s="79">
        <v>3901082.1400521388</v>
      </c>
      <c r="AX34" s="78">
        <v>2808228.3917556475</v>
      </c>
      <c r="AY34" s="83">
        <v>1470771.6082443525</v>
      </c>
      <c r="AZ34" s="78">
        <v>9680731.1289747972</v>
      </c>
      <c r="BA34" s="79">
        <v>2839000</v>
      </c>
      <c r="BB34" s="78">
        <v>726000</v>
      </c>
      <c r="BC34" s="82">
        <v>643000</v>
      </c>
    </row>
    <row r="35" spans="1:55" ht="27.9" customHeight="1">
      <c r="A35" s="144"/>
      <c r="B35" s="213"/>
      <c r="C35" s="80"/>
      <c r="D35" s="213"/>
      <c r="E35" s="79"/>
      <c r="F35" s="213"/>
      <c r="G35" s="80"/>
      <c r="H35" s="213"/>
      <c r="I35" s="79"/>
      <c r="J35" s="213"/>
      <c r="K35" s="80"/>
      <c r="L35" s="213"/>
      <c r="M35" s="79"/>
      <c r="N35" s="213"/>
      <c r="O35" s="80"/>
      <c r="P35" s="213"/>
      <c r="Q35" s="79"/>
      <c r="R35" s="213"/>
      <c r="S35" s="80"/>
      <c r="T35" s="213"/>
      <c r="U35" s="79"/>
      <c r="V35" s="213"/>
      <c r="W35" s="80"/>
      <c r="X35" s="213"/>
      <c r="Y35" s="79"/>
      <c r="Z35" s="213"/>
      <c r="AA35" s="80"/>
      <c r="AB35" s="478"/>
      <c r="AC35" s="79"/>
      <c r="AD35" s="213"/>
      <c r="AE35" s="80"/>
      <c r="AF35" s="213"/>
      <c r="AG35" s="79"/>
      <c r="AH35" s="213"/>
      <c r="AI35" s="80"/>
      <c r="AJ35" s="213"/>
      <c r="AK35" s="79"/>
      <c r="AL35" s="213"/>
      <c r="AM35" s="80"/>
      <c r="AN35" s="231"/>
      <c r="AO35" s="79"/>
      <c r="AP35" s="213"/>
      <c r="AQ35" s="80"/>
      <c r="AR35" s="78"/>
      <c r="AS35" s="79"/>
      <c r="AT35" s="78"/>
      <c r="AU35" s="80"/>
      <c r="AV35" s="78"/>
      <c r="AW35" s="79"/>
      <c r="AX35" s="78"/>
      <c r="AY35" s="80"/>
      <c r="AZ35" s="78"/>
      <c r="BA35" s="79"/>
      <c r="BB35" s="78"/>
      <c r="BC35" s="79"/>
    </row>
    <row r="36" spans="1:55" ht="27.9" customHeight="1">
      <c r="A36" s="145" t="s">
        <v>111</v>
      </c>
      <c r="B36" s="214">
        <f>B32-B34</f>
        <v>31807158.780000016</v>
      </c>
      <c r="C36" s="494">
        <f>C32-C34</f>
        <v>2274329.5200000033</v>
      </c>
      <c r="D36" s="214">
        <f t="shared" ref="D36:AP36" si="63">D32-D34</f>
        <v>20820353.360000029</v>
      </c>
      <c r="E36" s="82">
        <f t="shared" si="63"/>
        <v>21241288.049999982</v>
      </c>
      <c r="F36" s="214">
        <f t="shared" si="63"/>
        <v>5154947.3200000077</v>
      </c>
      <c r="G36" s="494">
        <f t="shared" si="63"/>
        <v>2365884.8300000019</v>
      </c>
      <c r="H36" s="214">
        <f t="shared" si="63"/>
        <v>41009909.950000003</v>
      </c>
      <c r="I36" s="82">
        <f t="shared" si="63"/>
        <v>-1490112.1699999981</v>
      </c>
      <c r="J36" s="214">
        <f t="shared" si="63"/>
        <v>-1863855.1899999995</v>
      </c>
      <c r="K36" s="494">
        <f t="shared" si="63"/>
        <v>-1962456.17</v>
      </c>
      <c r="L36" s="214">
        <f t="shared" si="63"/>
        <v>7084675.7100000046</v>
      </c>
      <c r="M36" s="82">
        <f t="shared" si="63"/>
        <v>-2644058.8600000031</v>
      </c>
      <c r="N36" s="214">
        <f t="shared" si="63"/>
        <v>-712460.5599999968</v>
      </c>
      <c r="O36" s="494">
        <f t="shared" si="63"/>
        <v>2550933.0099999998</v>
      </c>
      <c r="P36" s="214">
        <f t="shared" si="63"/>
        <v>1985986.2400000021</v>
      </c>
      <c r="Q36" s="82">
        <f t="shared" si="63"/>
        <v>-1575186.8499999996</v>
      </c>
      <c r="R36" s="214">
        <f t="shared" si="63"/>
        <v>-1208175.1400000004</v>
      </c>
      <c r="S36" s="494">
        <f t="shared" si="63"/>
        <v>-1087123.6199999999</v>
      </c>
      <c r="T36" s="214">
        <f t="shared" si="63"/>
        <v>4536325.3999999985</v>
      </c>
      <c r="U36" s="82">
        <f t="shared" si="63"/>
        <v>-1281269.3400000012</v>
      </c>
      <c r="V36" s="214">
        <f t="shared" si="63"/>
        <v>2129232.8400000017</v>
      </c>
      <c r="W36" s="494">
        <f t="shared" si="63"/>
        <v>-1172191.3799999999</v>
      </c>
      <c r="X36" s="214">
        <f t="shared" si="63"/>
        <v>179404.75999999791</v>
      </c>
      <c r="Y36" s="82">
        <f t="shared" si="63"/>
        <v>-2334491.2500000037</v>
      </c>
      <c r="Z36" s="214">
        <f t="shared" si="63"/>
        <v>-90927.799999997951</v>
      </c>
      <c r="AA36" s="83">
        <f t="shared" si="63"/>
        <v>1338490.4900000002</v>
      </c>
      <c r="AB36" s="214">
        <f t="shared" si="63"/>
        <v>6812759.870000001</v>
      </c>
      <c r="AC36" s="218">
        <f t="shared" si="63"/>
        <v>1077601.6200000029</v>
      </c>
      <c r="AD36" s="214">
        <f t="shared" si="63"/>
        <v>-1233375.4551456813</v>
      </c>
      <c r="AE36" s="83">
        <f t="shared" si="63"/>
        <v>-1753667.8148543201</v>
      </c>
      <c r="AF36" s="214">
        <f t="shared" si="63"/>
        <v>813713.27256723121</v>
      </c>
      <c r="AG36" s="218">
        <f t="shared" si="63"/>
        <v>-465577.97740994999</v>
      </c>
      <c r="AH36" s="214">
        <f t="shared" si="63"/>
        <v>-1783217.9860253972</v>
      </c>
      <c r="AI36" s="83">
        <f t="shared" si="63"/>
        <v>-1296156.7426360059</v>
      </c>
      <c r="AJ36" s="214">
        <f t="shared" si="63"/>
        <v>2382221.0500000082</v>
      </c>
      <c r="AK36" s="218">
        <f t="shared" si="63"/>
        <v>-1505717.5600000052</v>
      </c>
      <c r="AL36" s="214">
        <f t="shared" si="63"/>
        <v>2476257.2100000028</v>
      </c>
      <c r="AM36" s="83">
        <f t="shared" si="63"/>
        <v>203462.49999999907</v>
      </c>
      <c r="AN36" s="232">
        <f t="shared" si="63"/>
        <v>4133100.1900000051</v>
      </c>
      <c r="AO36" s="218">
        <f t="shared" si="63"/>
        <v>-245357.34000000171</v>
      </c>
      <c r="AP36" s="214">
        <f t="shared" si="63"/>
        <v>-591777.38999999873</v>
      </c>
      <c r="AQ36" s="83">
        <v>-985509.53</v>
      </c>
      <c r="AR36" s="78">
        <f>'SEGMENTY I'!AR36-'SEGMENTY I'!AS36</f>
        <v>1458616.31</v>
      </c>
      <c r="AS36" s="79">
        <f>'SEGMENTY I'!AS36-'SEGMENTY I'!AT36</f>
        <v>336035.70000000007</v>
      </c>
      <c r="AT36" s="78">
        <f>'SEGMENTY I'!AT36-'SEGMENTY I'!AU36</f>
        <v>-260664.06000000006</v>
      </c>
      <c r="AU36" s="83">
        <v>-625453.11</v>
      </c>
      <c r="AV36" s="78">
        <f>'SEGMENTY I'!AV36-'SEGMENTY I'!AW36</f>
        <v>975603.8507454982</v>
      </c>
      <c r="AW36" s="79">
        <f>'SEGMENTY I'!AW36-'SEGMENTY I'!AX36</f>
        <v>-1217584.5400521387</v>
      </c>
      <c r="AX36" s="78">
        <f>'SEGMENTY I'!AX36-'SEGMENTY I'!AY36</f>
        <v>-1331677.7817556476</v>
      </c>
      <c r="AY36" s="83">
        <v>11977.931755647529</v>
      </c>
      <c r="AZ36" s="78">
        <f>'SEGMENTY I'!AZ36-'SEGMENTY I'!BA36</f>
        <v>2640274.0710252021</v>
      </c>
      <c r="BA36" s="79">
        <f>'SEGMENTY I'!BA36-'SEGMENTY I'!BB36</f>
        <v>451000</v>
      </c>
      <c r="BB36" s="78">
        <f>'SEGMENTY I'!BB36-'SEGMENTY I'!BC36</f>
        <v>-261000</v>
      </c>
      <c r="BC36" s="82">
        <v>-275000</v>
      </c>
    </row>
    <row r="37" spans="1:55" ht="27.9" customHeight="1">
      <c r="E37" s="473"/>
      <c r="I37" s="473"/>
      <c r="K37"/>
      <c r="M37" s="473"/>
      <c r="Q37" s="473"/>
      <c r="U37" s="473"/>
      <c r="Y37" s="9"/>
      <c r="AA37" s="9"/>
    </row>
    <row r="38" spans="1:55" ht="27.9" customHeight="1">
      <c r="E38" s="5"/>
      <c r="I38" s="5"/>
      <c r="K38"/>
      <c r="M38" s="5"/>
      <c r="Q38" s="5"/>
      <c r="U38" s="5"/>
      <c r="Y38" s="9"/>
      <c r="AA38" s="9"/>
    </row>
    <row r="39" spans="1:55" ht="27.9" customHeight="1">
      <c r="A39" s="370" t="s">
        <v>147</v>
      </c>
      <c r="B39" s="370"/>
      <c r="C39" s="370"/>
      <c r="D39" s="370"/>
      <c r="E39" s="501"/>
      <c r="F39" s="370"/>
      <c r="G39" s="370"/>
      <c r="H39" s="370"/>
      <c r="I39" s="501"/>
      <c r="J39" s="370"/>
      <c r="K39" s="370"/>
      <c r="L39" s="370"/>
      <c r="M39" s="501"/>
      <c r="N39" s="370"/>
      <c r="O39" s="370"/>
      <c r="P39" s="370"/>
      <c r="Q39" s="501"/>
      <c r="R39" s="370"/>
      <c r="S39" s="370"/>
      <c r="T39" s="370"/>
      <c r="U39" s="370"/>
      <c r="V39" s="370"/>
      <c r="W39" s="532" t="s">
        <v>139</v>
      </c>
      <c r="X39" s="532"/>
      <c r="Y39" s="532"/>
      <c r="Z39" s="532"/>
      <c r="AA39" s="532"/>
      <c r="AB39" s="532"/>
      <c r="AC39" s="532"/>
      <c r="AD39" s="532"/>
      <c r="AE39" s="532"/>
      <c r="AF39" s="532"/>
      <c r="AG39" s="532"/>
      <c r="AH39" s="532"/>
      <c r="AI39" s="532"/>
      <c r="AJ39" s="532"/>
      <c r="AK39" s="532"/>
      <c r="AL39" s="532"/>
      <c r="AM39" s="532"/>
      <c r="AN39" s="532"/>
      <c r="AO39" s="532"/>
      <c r="AP39" s="532"/>
      <c r="AQ39" s="532"/>
      <c r="AR39" s="532"/>
    </row>
    <row r="40" spans="1:55" ht="27.9" customHeight="1">
      <c r="A40" s="5"/>
      <c r="B40" s="5"/>
      <c r="C40" s="84"/>
      <c r="D40" s="5"/>
      <c r="E40" s="5"/>
      <c r="F40" s="5"/>
      <c r="G40" s="84"/>
      <c r="H40" s="5"/>
      <c r="I40" s="5"/>
      <c r="J40" s="5"/>
      <c r="K40" s="84"/>
      <c r="L40" s="5"/>
      <c r="M40" s="5"/>
      <c r="N40" s="5"/>
      <c r="O40" s="84"/>
      <c r="P40" s="5"/>
      <c r="Q40" s="5"/>
      <c r="R40" s="5"/>
      <c r="S40" s="84"/>
      <c r="T40" s="5"/>
      <c r="U40" s="5"/>
      <c r="V40" s="5"/>
      <c r="W40" s="84"/>
      <c r="X40" s="5"/>
      <c r="Y40" s="5"/>
      <c r="Z40" s="5"/>
      <c r="AA40" s="5"/>
      <c r="AB40" s="212"/>
      <c r="AC40" s="5"/>
      <c r="AD40" s="212"/>
      <c r="AE40" s="5"/>
      <c r="AF40" s="147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</row>
    <row r="41" spans="1:55" ht="27.9" customHeight="1">
      <c r="A41" s="142"/>
      <c r="B41" s="216" t="s">
        <v>288</v>
      </c>
      <c r="C41" s="360" t="str">
        <f>C5</f>
        <v>IQ25</v>
      </c>
      <c r="D41" s="216" t="str">
        <f>D29</f>
        <v>IVQ 24</v>
      </c>
      <c r="E41" s="361" t="s">
        <v>279</v>
      </c>
      <c r="F41" s="216" t="s">
        <v>277</v>
      </c>
      <c r="G41" s="360" t="str">
        <f>G5</f>
        <v>IQ24</v>
      </c>
      <c r="H41" s="216" t="str">
        <f>H29</f>
        <v>IVQ 23</v>
      </c>
      <c r="I41" s="361" t="s">
        <v>269</v>
      </c>
      <c r="J41" s="216" t="s">
        <v>267</v>
      </c>
      <c r="K41" s="360" t="str">
        <f>K5</f>
        <v>IQ23</v>
      </c>
      <c r="L41" s="216" t="s">
        <v>257</v>
      </c>
      <c r="M41" s="361" t="s">
        <v>255</v>
      </c>
      <c r="N41" s="216" t="s">
        <v>250</v>
      </c>
      <c r="O41" s="360" t="str">
        <f>O5</f>
        <v>IQ22</v>
      </c>
      <c r="P41" s="216" t="s">
        <v>246</v>
      </c>
      <c r="Q41" s="361" t="s">
        <v>240</v>
      </c>
      <c r="R41" s="216" t="s">
        <v>240</v>
      </c>
      <c r="S41" s="360" t="str">
        <f>S5</f>
        <v>IQ21</v>
      </c>
      <c r="T41" s="216" t="s">
        <v>236</v>
      </c>
      <c r="U41" s="361" t="s">
        <v>228</v>
      </c>
      <c r="V41" s="216" t="s">
        <v>228</v>
      </c>
      <c r="W41" s="360" t="s">
        <v>226</v>
      </c>
      <c r="X41" s="216" t="s">
        <v>221</v>
      </c>
      <c r="Y41" s="361" t="s">
        <v>215</v>
      </c>
      <c r="Z41" s="216" t="s">
        <v>215</v>
      </c>
      <c r="AA41" s="360" t="s">
        <v>213</v>
      </c>
      <c r="AB41" s="216" t="s">
        <v>209</v>
      </c>
      <c r="AC41" s="72" t="s">
        <v>207</v>
      </c>
      <c r="AD41" s="216" t="s">
        <v>204</v>
      </c>
      <c r="AE41" s="215" t="s">
        <v>202</v>
      </c>
      <c r="AF41" s="216" t="s">
        <v>200</v>
      </c>
      <c r="AG41" s="72" t="s">
        <v>199</v>
      </c>
      <c r="AH41" s="216" t="s">
        <v>193</v>
      </c>
      <c r="AI41" s="215" t="s">
        <v>190</v>
      </c>
      <c r="AJ41" s="216" t="s">
        <v>189</v>
      </c>
      <c r="AK41" s="72" t="s">
        <v>188</v>
      </c>
      <c r="AL41" s="216" t="s">
        <v>186</v>
      </c>
      <c r="AM41" s="215" t="s">
        <v>183</v>
      </c>
      <c r="AN41" s="230" t="s">
        <v>182</v>
      </c>
      <c r="AO41" s="72" t="s">
        <v>180</v>
      </c>
      <c r="AP41" s="216" t="s">
        <v>177</v>
      </c>
      <c r="AQ41" s="215" t="s">
        <v>155</v>
      </c>
      <c r="AR41" s="71" t="s">
        <v>116</v>
      </c>
      <c r="AS41" s="72" t="s">
        <v>25</v>
      </c>
      <c r="AT41" s="71" t="s">
        <v>26</v>
      </c>
      <c r="AU41" s="74" t="s">
        <v>16</v>
      </c>
      <c r="AV41" s="71" t="s">
        <v>27</v>
      </c>
      <c r="AW41" s="72" t="s">
        <v>28</v>
      </c>
      <c r="AX41" s="71" t="s">
        <v>29</v>
      </c>
      <c r="AY41" s="74" t="s">
        <v>20</v>
      </c>
      <c r="AZ41" s="71" t="s">
        <v>30</v>
      </c>
      <c r="BA41" s="72" t="s">
        <v>31</v>
      </c>
      <c r="BB41" s="71" t="s">
        <v>32</v>
      </c>
      <c r="BC41" s="72" t="s">
        <v>24</v>
      </c>
    </row>
    <row r="42" spans="1:55" ht="27.9" customHeight="1">
      <c r="A42" s="143" t="s">
        <v>112</v>
      </c>
      <c r="B42" s="217">
        <f>'SEGMENTY I'!B42-'SEGMENTY I'!C42</f>
        <v>2931057.82</v>
      </c>
      <c r="C42" s="366">
        <f>'SEGMENTY I'!C42</f>
        <v>2902868.78</v>
      </c>
      <c r="D42" s="217">
        <f>'SEGMENTY I'!D42-'SEGMENTY I'!E42</f>
        <v>2008847.3300000019</v>
      </c>
      <c r="E42" s="79">
        <f>'SEGMENTY I'!E42-'SEGMENTY I'!F42</f>
        <v>2699147.459999999</v>
      </c>
      <c r="F42" s="217">
        <f>'SEGMENTY I'!F42-'SEGMENTY I'!G42</f>
        <v>3626116.2700000005</v>
      </c>
      <c r="G42" s="366">
        <f>'SEGMENTY I'!G42</f>
        <v>3937482.88</v>
      </c>
      <c r="H42" s="217">
        <f>'SEGMENTY I'!H42-'SEGMENTY I'!I42</f>
        <v>7194539.040000001</v>
      </c>
      <c r="I42" s="79">
        <f>'SEGMENTY I'!I42-'SEGMENTY I'!J42</f>
        <v>1877354.6199999992</v>
      </c>
      <c r="J42" s="217">
        <f>'SEGMENTY I'!J42-'SEGMENTY I'!K42</f>
        <v>3579186.92</v>
      </c>
      <c r="K42" s="366">
        <f>'SEGMENTY I'!K42</f>
        <v>4076052.49</v>
      </c>
      <c r="L42" s="217">
        <f>'SEGMENTY I'!L42-'SEGMENTY I'!M42</f>
        <v>6408325.7200000007</v>
      </c>
      <c r="M42" s="79">
        <f>'SEGMENTY I'!M42-'SEGMENTY I'!N42</f>
        <v>3680351.9200000009</v>
      </c>
      <c r="N42" s="217">
        <f>'SEGMENTY I'!N42-'SEGMENTY I'!O42</f>
        <v>3668790.8199999994</v>
      </c>
      <c r="O42" s="366">
        <f>'SEGMENTY I'!O42</f>
        <v>2893391.74</v>
      </c>
      <c r="P42" s="217">
        <f>'SEGMENTY I'!P42-'SEGMENTY I'!Q42</f>
        <v>3509716.4700000007</v>
      </c>
      <c r="Q42" s="79">
        <f>'SEGMENTY I'!Q42-'SEGMENTY I'!R42</f>
        <v>2505038.5199999996</v>
      </c>
      <c r="R42" s="217">
        <f>'SEGMENTY I'!R42-'SEGMENTY I'!S42</f>
        <v>2901456.9100000006</v>
      </c>
      <c r="S42" s="366">
        <f>'SEGMENTY I'!S42</f>
        <v>2793113.48</v>
      </c>
      <c r="T42" s="217">
        <f>'SEGMENTY I'!T42-'SEGMENTY I'!U42</f>
        <v>2425762.25</v>
      </c>
      <c r="U42" s="79">
        <f>'SEGMENTY I'!U42-'SEGMENTY I'!V42</f>
        <v>1804218.13</v>
      </c>
      <c r="V42" s="217">
        <f>'SEGMENTY I'!V42-'SEGMENTY I'!W42</f>
        <v>1953273.04</v>
      </c>
      <c r="W42" s="366">
        <f>'SEGMENTY I'!W42</f>
        <v>2504193.3200000003</v>
      </c>
      <c r="X42" s="217">
        <f>'SEGMENTY I'!X42-'SEGMENTY I'!Y42</f>
        <v>2150113.6899999995</v>
      </c>
      <c r="Y42" s="367">
        <v>3233445.5999999996</v>
      </c>
      <c r="Z42" s="217">
        <f>'SEGMENTY I'!Z42-'SEGMENTY I'!AA42</f>
        <v>3233445.5999999996</v>
      </c>
      <c r="AA42" s="366">
        <f>1764696.48+738790.35</f>
        <v>2503486.83</v>
      </c>
      <c r="AB42" s="477">
        <f>'SEGMENTY I'!AB42-'SEGMENTY I'!AC42</f>
        <v>2105812.5700000003</v>
      </c>
      <c r="AC42" s="219">
        <f>'SEGMENTY I'!AC42-'SEGMENTY I'!AD42</f>
        <v>726732.52000000142</v>
      </c>
      <c r="AD42" s="217">
        <f>'SEGMENTY I'!AD42-'SEGMENTY I'!AE42</f>
        <v>4604859.3199999984</v>
      </c>
      <c r="AE42" s="77">
        <f>'SEGMENTY I'!AE42</f>
        <v>2485821.8000000007</v>
      </c>
      <c r="AF42" s="217">
        <f>'SEGMENTY I'!AF42-'SEGMENTY I'!AG42</f>
        <v>1599987.540000001</v>
      </c>
      <c r="AG42" s="219">
        <f>'SEGMENTY I'!AG42-'SEGMENTY I'!AH42</f>
        <v>3575382.0500000026</v>
      </c>
      <c r="AH42" s="217">
        <f>'SEGMENTY I'!AH42-'SEGMENTY I'!AI42</f>
        <v>3106683.2999999993</v>
      </c>
      <c r="AI42" s="77">
        <f>'SEGMENTY I'!AI42</f>
        <v>2363586.0300000007</v>
      </c>
      <c r="AJ42" s="217">
        <f>'SEGMENTY I'!AJ42-'SEGMENTY I'!AK42</f>
        <v>3166228.0200000014</v>
      </c>
      <c r="AK42" s="219">
        <f>'SEGMENTY I'!AK42-'SEGMENTY I'!AL42</f>
        <v>2027028.42</v>
      </c>
      <c r="AL42" s="217">
        <f>'SEGMENTY I'!AL42-'SEGMENTY I'!AM42</f>
        <v>2570478.7800000003</v>
      </c>
      <c r="AM42" s="77">
        <f>'SEGMENTY I'!AM42</f>
        <v>2912570.63</v>
      </c>
      <c r="AN42" s="231">
        <f>'SEGMENTY I'!AN42-'SEGMENTY I'!AO42</f>
        <v>5212391.03</v>
      </c>
      <c r="AO42" s="219">
        <f>'SEGMENTY I'!AO42-'SEGMENTY I'!AP42</f>
        <v>1883031.3099999996</v>
      </c>
      <c r="AP42" s="217">
        <f>'SEGMENTY I'!AP42-'SEGMENTY I'!AQ42</f>
        <v>2557946.1200000006</v>
      </c>
      <c r="AQ42" s="210">
        <v>3132816.28</v>
      </c>
      <c r="AR42" s="75">
        <f>'SEGMENTY I'!AR42-'SEGMENTY I'!AS42</f>
        <v>1503021.9499999993</v>
      </c>
      <c r="AS42" s="76">
        <f>'SEGMENTY I'!AS42-'SEGMENTY I'!AT42</f>
        <v>3193145.1800000034</v>
      </c>
      <c r="AT42" s="75">
        <f>'SEGMENTY I'!AT42-'SEGMENTY I'!AU42</f>
        <v>3582094.7799999979</v>
      </c>
      <c r="AU42" s="77">
        <v>3675247.14</v>
      </c>
      <c r="AV42" s="75">
        <f>'SEGMENTY I'!AV42-'SEGMENTY I'!AW42</f>
        <v>4627415.93</v>
      </c>
      <c r="AW42" s="76">
        <f>'SEGMENTY I'!AW42-'SEGMENTY I'!AX42</f>
        <v>4811445.7500000019</v>
      </c>
      <c r="AX42" s="75">
        <f>'SEGMENTY I'!AX42-'SEGMENTY I'!AY42</f>
        <v>5317312.709999999</v>
      </c>
      <c r="AY42" s="77">
        <v>4682279.0500000007</v>
      </c>
      <c r="AZ42" s="75">
        <f>'SEGMENTY I'!AZ42-'SEGMENTY I'!BA42</f>
        <v>8754076.9300000034</v>
      </c>
      <c r="BA42" s="76">
        <f>'SEGMENTY I'!BA42-'SEGMENTY I'!BB42</f>
        <v>4238000</v>
      </c>
      <c r="BB42" s="75">
        <f>'SEGMENTY I'!BB42-'SEGMENTY I'!BC42</f>
        <v>4720000</v>
      </c>
      <c r="BC42" s="76">
        <v>4139000</v>
      </c>
    </row>
    <row r="43" spans="1:55" ht="27.9" customHeight="1">
      <c r="A43" s="144" t="s">
        <v>108</v>
      </c>
      <c r="B43" s="213">
        <f>'SEGMENTY I'!B43-'SEGMENTY I'!C43</f>
        <v>10249083.18</v>
      </c>
      <c r="C43" s="80">
        <f>'SEGMENTY I'!C43</f>
        <v>12890978.98</v>
      </c>
      <c r="D43" s="213">
        <f>'SEGMENTY I'!D43-'SEGMENTY I'!E43</f>
        <v>10238421.850000001</v>
      </c>
      <c r="E43" s="79">
        <f>'SEGMENTY I'!E43-'SEGMENTY I'!F43</f>
        <v>8653266.2599999979</v>
      </c>
      <c r="F43" s="213">
        <f>'SEGMENTY I'!F43-'SEGMENTY I'!G43</f>
        <v>9108933.9600000009</v>
      </c>
      <c r="G43" s="80">
        <f>'SEGMENTY I'!G43</f>
        <v>9168106.4299999997</v>
      </c>
      <c r="H43" s="213">
        <f>'SEGMENTY I'!H43-'SEGMENTY I'!I43</f>
        <v>7008359.4499999993</v>
      </c>
      <c r="I43" s="79">
        <f>'SEGMENTY I'!I43-'SEGMENTY I'!J43</f>
        <v>6353990.8700000029</v>
      </c>
      <c r="J43" s="213">
        <f>'SEGMENTY I'!J43-'SEGMENTY I'!K43</f>
        <v>6250856.5799999982</v>
      </c>
      <c r="K43" s="80">
        <f>'SEGMENTY I'!K43</f>
        <v>5730328.9000000004</v>
      </c>
      <c r="L43" s="213">
        <f>'SEGMENTY I'!L43-'SEGMENTY I'!M43</f>
        <v>5269929.6699999981</v>
      </c>
      <c r="M43" s="79">
        <f>'SEGMENTY I'!M43-'SEGMENTY I'!N43</f>
        <v>7710326.7100000028</v>
      </c>
      <c r="N43" s="213">
        <f>'SEGMENTY I'!N43-'SEGMENTY I'!O43</f>
        <v>6704795.25</v>
      </c>
      <c r="O43" s="80">
        <f>'SEGMENTY I'!O43</f>
        <v>7457496.5800000001</v>
      </c>
      <c r="P43" s="213">
        <f>'SEGMENTY I'!P43-'SEGMENTY I'!Q43</f>
        <v>5644949.5799999982</v>
      </c>
      <c r="Q43" s="79">
        <f>'SEGMENTY I'!Q43-'SEGMENTY I'!R43</f>
        <v>5338374.790000001</v>
      </c>
      <c r="R43" s="213">
        <f>'SEGMENTY I'!R43-'SEGMENTY I'!S43</f>
        <v>5233030.379999999</v>
      </c>
      <c r="S43" s="80">
        <f>'SEGMENTY I'!S43</f>
        <v>5489914.8100000005</v>
      </c>
      <c r="T43" s="213">
        <f>'SEGMENTY I'!T43-'SEGMENTY I'!U43</f>
        <v>5552833.3000000007</v>
      </c>
      <c r="U43" s="79">
        <f>'SEGMENTY I'!U43-'SEGMENTY I'!V43</f>
        <v>5113886.5300000012</v>
      </c>
      <c r="V43" s="213">
        <f>'SEGMENTY I'!V43-'SEGMENTY I'!W43</f>
        <v>4034085.05</v>
      </c>
      <c r="W43" s="80">
        <f>'SEGMENTY I'!W43</f>
        <v>6272897.9699999997</v>
      </c>
      <c r="X43" s="213">
        <f>'SEGMENTY I'!X43-'SEGMENTY I'!Y43</f>
        <v>5589760.9299999997</v>
      </c>
      <c r="Y43" s="79">
        <v>5505622.7500000009</v>
      </c>
      <c r="Z43" s="213">
        <f>'SEGMENTY I'!Z43-'SEGMENTY I'!AA43</f>
        <v>5505622.7500000009</v>
      </c>
      <c r="AA43" s="80">
        <f>5701978.81+163389.65</f>
        <v>5865368.46</v>
      </c>
      <c r="AB43" s="478">
        <f>'SEGMENTY I'!AB43-'SEGMENTY I'!AC43</f>
        <v>5622498.7799999975</v>
      </c>
      <c r="AC43" s="79">
        <f>'SEGMENTY I'!AC43-'SEGMENTY I'!AD43</f>
        <v>5243997.6900000013</v>
      </c>
      <c r="AD43" s="213">
        <f>'SEGMENTY I'!AD43-'SEGMENTY I'!AE43</f>
        <v>5809950.9100000001</v>
      </c>
      <c r="AE43" s="80">
        <f>'SEGMENTY I'!AE43</f>
        <v>7088714.8399999999</v>
      </c>
      <c r="AF43" s="213">
        <f>'SEGMENTY I'!AF43-'SEGMENTY I'!AG43</f>
        <v>6841129.209999999</v>
      </c>
      <c r="AG43" s="79">
        <f>'SEGMENTY I'!AG43-'SEGMENTY I'!AH43</f>
        <v>4970716.7800000012</v>
      </c>
      <c r="AH43" s="213">
        <f>'SEGMENTY I'!AH43-'SEGMENTY I'!AI43</f>
        <v>4762683.3099999977</v>
      </c>
      <c r="AI43" s="80">
        <f>'SEGMENTY I'!AI43</f>
        <v>4626092.4700000016</v>
      </c>
      <c r="AJ43" s="213">
        <f>'SEGMENTY I'!AJ43-'SEGMENTY I'!AK43</f>
        <v>4988188.4399999976</v>
      </c>
      <c r="AK43" s="79">
        <f>'SEGMENTY I'!AK43-'SEGMENTY I'!AL43</f>
        <v>3603580.49</v>
      </c>
      <c r="AL43" s="213">
        <f>'SEGMENTY I'!AL43-'SEGMENTY I'!AM43</f>
        <v>3800853.9299999997</v>
      </c>
      <c r="AM43" s="80">
        <f>'SEGMENTY I'!AM43</f>
        <v>3684722.17</v>
      </c>
      <c r="AN43" s="231">
        <f>'SEGMENTY I'!AN43-'SEGMENTY I'!AO43</f>
        <v>577902.12999999896</v>
      </c>
      <c r="AO43" s="79">
        <f>'SEGMENTY I'!AO43-'SEGMENTY I'!AP43</f>
        <v>5926338.54</v>
      </c>
      <c r="AP43" s="213">
        <f>'SEGMENTY I'!AP43-'SEGMENTY I'!AQ43</f>
        <v>1870000.4900000002</v>
      </c>
      <c r="AQ43" s="211">
        <v>3889181.71</v>
      </c>
      <c r="AR43" s="78">
        <f>'SEGMENTY I'!AR43-'SEGMENTY I'!AS43</f>
        <v>3509099.25</v>
      </c>
      <c r="AS43" s="79">
        <f>'SEGMENTY I'!AS43-'SEGMENTY I'!AT43</f>
        <v>2505482.7799999993</v>
      </c>
      <c r="AT43" s="78">
        <f>'SEGMENTY I'!AT43-'SEGMENTY I'!AU43</f>
        <v>2438221.4200000009</v>
      </c>
      <c r="AU43" s="80">
        <v>2379861.4699999997</v>
      </c>
      <c r="AV43" s="78">
        <f>'SEGMENTY I'!AV43-'SEGMENTY I'!AW43</f>
        <v>1428534.4599999986</v>
      </c>
      <c r="AW43" s="79">
        <f>'SEGMENTY I'!AW43-'SEGMENTY I'!AX43</f>
        <v>138460.16999999946</v>
      </c>
      <c r="AX43" s="78">
        <f>'SEGMENTY I'!AX43-'SEGMENTY I'!AY43</f>
        <v>1928640.2300000004</v>
      </c>
      <c r="AY43" s="80">
        <v>2056945.71</v>
      </c>
      <c r="AZ43" s="78">
        <f>'SEGMENTY I'!AZ43-'SEGMENTY I'!BA43</f>
        <v>-582277.34999999963</v>
      </c>
      <c r="BA43" s="79">
        <f>'SEGMENTY I'!BA43-'SEGMENTY I'!BB43</f>
        <v>4162000</v>
      </c>
      <c r="BB43" s="78">
        <f>'SEGMENTY I'!BB43-'SEGMENTY I'!BC43</f>
        <v>1109000</v>
      </c>
      <c r="BC43" s="79">
        <v>2828000</v>
      </c>
    </row>
    <row r="44" spans="1:55" ht="27.9" customHeight="1">
      <c r="A44" s="145" t="s">
        <v>109</v>
      </c>
      <c r="B44" s="214">
        <f t="shared" ref="B44" si="64">SUM(B42:B43)</f>
        <v>13180141</v>
      </c>
      <c r="C44" s="494">
        <f t="shared" ref="C44" si="65">SUM(C42:C43)</f>
        <v>15793847.76</v>
      </c>
      <c r="D44" s="214">
        <f t="shared" ref="D44" si="66">SUM(D42:D43)</f>
        <v>12247269.180000003</v>
      </c>
      <c r="E44" s="218">
        <f t="shared" ref="E44" si="67">SUM(E42:E43)</f>
        <v>11352413.719999997</v>
      </c>
      <c r="F44" s="214">
        <f t="shared" ref="F44" si="68">SUM(F42:F43)</f>
        <v>12735050.23</v>
      </c>
      <c r="G44" s="494">
        <f t="shared" ref="G44" si="69">SUM(G42:G43)</f>
        <v>13105589.309999999</v>
      </c>
      <c r="H44" s="214">
        <f t="shared" ref="H44" si="70">SUM(H42:H43)</f>
        <v>14202898.49</v>
      </c>
      <c r="I44" s="218">
        <f t="shared" ref="I44" si="71">SUM(I42:I43)</f>
        <v>8231345.4900000021</v>
      </c>
      <c r="J44" s="214">
        <f t="shared" ref="J44" si="72">SUM(J42:J43)</f>
        <v>9830043.4999999981</v>
      </c>
      <c r="K44" s="494">
        <f t="shared" ref="K44" si="73">SUM(K42:K43)</f>
        <v>9806381.3900000006</v>
      </c>
      <c r="L44" s="214">
        <f t="shared" ref="L44" si="74">SUM(L42:L43)</f>
        <v>11678255.389999999</v>
      </c>
      <c r="M44" s="218">
        <f t="shared" ref="M44" si="75">SUM(M42:M43)</f>
        <v>11390678.630000003</v>
      </c>
      <c r="N44" s="214">
        <f t="shared" ref="N44" si="76">SUM(N42:N43)</f>
        <v>10373586.07</v>
      </c>
      <c r="O44" s="494">
        <f t="shared" ref="O44" si="77">SUM(O42:O43)</f>
        <v>10350888.32</v>
      </c>
      <c r="P44" s="214">
        <f t="shared" ref="P44" si="78">SUM(P42:P43)</f>
        <v>9154666.0499999989</v>
      </c>
      <c r="Q44" s="218">
        <f t="shared" ref="Q44" si="79">SUM(Q42:Q43)</f>
        <v>7843413.3100000005</v>
      </c>
      <c r="R44" s="214">
        <f t="shared" ref="R44" si="80">SUM(R42:R43)</f>
        <v>8134487.2899999991</v>
      </c>
      <c r="S44" s="494">
        <f t="shared" ref="S44:X44" si="81">SUM(S42:S43)</f>
        <v>8283028.290000001</v>
      </c>
      <c r="T44" s="214">
        <f t="shared" si="81"/>
        <v>7978595.5500000007</v>
      </c>
      <c r="U44" s="218">
        <f t="shared" si="81"/>
        <v>6918104.6600000011</v>
      </c>
      <c r="V44" s="214">
        <f t="shared" si="81"/>
        <v>5987358.0899999999</v>
      </c>
      <c r="W44" s="494">
        <f t="shared" si="81"/>
        <v>8777091.2899999991</v>
      </c>
      <c r="X44" s="214">
        <f t="shared" si="81"/>
        <v>7739874.6199999992</v>
      </c>
      <c r="Y44" s="82">
        <v>8739068.3500000015</v>
      </c>
      <c r="Z44" s="214">
        <f>SUM(Z42:Z43)</f>
        <v>8739068.3500000015</v>
      </c>
      <c r="AA44" s="83">
        <f>SUM(AA42:AA43)</f>
        <v>8368855.29</v>
      </c>
      <c r="AB44" s="214">
        <f t="shared" ref="AB44:AC44" si="82">SUM(AB42:AB43)</f>
        <v>7728311.3499999978</v>
      </c>
      <c r="AC44" s="218">
        <f t="shared" si="82"/>
        <v>5970730.2100000028</v>
      </c>
      <c r="AD44" s="214">
        <f>SUM(AD42:AD43)</f>
        <v>10414810.229999999</v>
      </c>
      <c r="AE44" s="83">
        <f>SUM(AE42:AE43)</f>
        <v>9574536.6400000006</v>
      </c>
      <c r="AF44" s="214">
        <f>AF42+AF43</f>
        <v>8441116.75</v>
      </c>
      <c r="AG44" s="218">
        <f>SUM(AG42:AG43)</f>
        <v>8546098.8300000038</v>
      </c>
      <c r="AH44" s="214">
        <f>AH42+AH43</f>
        <v>7869366.6099999975</v>
      </c>
      <c r="AI44" s="83">
        <f>SUM(AI42:AI43)</f>
        <v>6989678.5000000019</v>
      </c>
      <c r="AJ44" s="214">
        <f>AJ42+AJ43</f>
        <v>8154416.459999999</v>
      </c>
      <c r="AK44" s="218">
        <f>SUM(AK42:AK43)</f>
        <v>5630608.9100000001</v>
      </c>
      <c r="AL44" s="214">
        <f>AL42+AL43</f>
        <v>6371332.71</v>
      </c>
      <c r="AM44" s="83">
        <f>SUM(AM42:AM43)</f>
        <v>6597292.7999999998</v>
      </c>
      <c r="AN44" s="232">
        <f>AN42+AN43</f>
        <v>5790293.1599999992</v>
      </c>
      <c r="AO44" s="218">
        <f>SUM(AO42:AO43)</f>
        <v>7809369.8499999996</v>
      </c>
      <c r="AP44" s="214">
        <f>AP42+AP43</f>
        <v>4427946.6100000013</v>
      </c>
      <c r="AQ44" s="83">
        <v>7021997.9900000002</v>
      </c>
      <c r="AR44" s="78">
        <f>'SEGMENTY I'!AR44-'SEGMENTY I'!AS44</f>
        <v>5012121.1999999955</v>
      </c>
      <c r="AS44" s="79">
        <f>'SEGMENTY I'!AS44-'SEGMENTY I'!AT44</f>
        <v>5698627.9600000046</v>
      </c>
      <c r="AT44" s="78">
        <f>'SEGMENTY I'!AT44-'SEGMENTY I'!AU44</f>
        <v>6020316.1999999993</v>
      </c>
      <c r="AU44" s="83">
        <v>6055108.6099999994</v>
      </c>
      <c r="AV44" s="78">
        <f>'SEGMENTY I'!AV44-'SEGMENTY I'!AW44</f>
        <v>6055950.3899999969</v>
      </c>
      <c r="AW44" s="79">
        <f>'SEGMENTY I'!AW44-'SEGMENTY I'!AX44</f>
        <v>4949905.9200000018</v>
      </c>
      <c r="AX44" s="78">
        <f>'SEGMENTY I'!AX44-'SEGMENTY I'!AY44</f>
        <v>7245952.9399999985</v>
      </c>
      <c r="AY44" s="83">
        <v>6739224.7600000007</v>
      </c>
      <c r="AZ44" s="78">
        <f>'SEGMENTY I'!AZ44-'SEGMENTY I'!BA44</f>
        <v>8171799.5800000057</v>
      </c>
      <c r="BA44" s="79">
        <f>'SEGMENTY I'!BA44-'SEGMENTY I'!BB44</f>
        <v>8400000</v>
      </c>
      <c r="BB44" s="78">
        <f>'SEGMENTY I'!BB44-'SEGMENTY I'!BC44</f>
        <v>5829000</v>
      </c>
      <c r="BC44" s="82">
        <v>6967000</v>
      </c>
    </row>
    <row r="45" spans="1:55" ht="27.9" customHeight="1">
      <c r="A45" s="144"/>
      <c r="B45" s="213"/>
      <c r="C45" s="80"/>
      <c r="D45" s="213"/>
      <c r="E45" s="79"/>
      <c r="F45" s="213"/>
      <c r="G45" s="80"/>
      <c r="H45" s="213"/>
      <c r="I45" s="79"/>
      <c r="J45" s="213"/>
      <c r="K45" s="80"/>
      <c r="L45" s="213"/>
      <c r="M45" s="79"/>
      <c r="N45" s="213"/>
      <c r="O45" s="80"/>
      <c r="P45" s="213"/>
      <c r="Q45" s="79"/>
      <c r="R45" s="213"/>
      <c r="S45" s="80"/>
      <c r="T45" s="213"/>
      <c r="U45" s="79"/>
      <c r="V45" s="213"/>
      <c r="W45" s="80"/>
      <c r="X45" s="213"/>
      <c r="Y45" s="79"/>
      <c r="Z45" s="213"/>
      <c r="AA45" s="80"/>
      <c r="AB45" s="478"/>
      <c r="AC45" s="79"/>
      <c r="AD45" s="213"/>
      <c r="AE45" s="80"/>
      <c r="AF45" s="213"/>
      <c r="AG45" s="79"/>
      <c r="AH45" s="213"/>
      <c r="AI45" s="80"/>
      <c r="AJ45" s="213"/>
      <c r="AK45" s="79"/>
      <c r="AL45" s="213"/>
      <c r="AM45" s="80"/>
      <c r="AN45" s="233"/>
      <c r="AO45" s="79"/>
      <c r="AP45" s="213"/>
      <c r="AQ45" s="83"/>
      <c r="AR45" s="78"/>
      <c r="AS45" s="79"/>
      <c r="AT45" s="78"/>
      <c r="AU45" s="80"/>
      <c r="AV45" s="78"/>
      <c r="AW45" s="79"/>
      <c r="AX45" s="78"/>
      <c r="AY45" s="80"/>
      <c r="AZ45" s="78"/>
      <c r="BA45" s="79"/>
      <c r="BB45" s="78"/>
      <c r="BC45" s="79"/>
    </row>
    <row r="46" spans="1:55" ht="27.9" customHeight="1">
      <c r="A46" s="145" t="s">
        <v>110</v>
      </c>
      <c r="B46" s="214">
        <f>'SEGMENTY I'!B46-'SEGMENTY I'!C46</f>
        <v>11467637.260000002</v>
      </c>
      <c r="C46" s="494">
        <f>'SEGMENTY I'!C46</f>
        <v>14278403.199999999</v>
      </c>
      <c r="D46" s="214">
        <v>10644891.539999997</v>
      </c>
      <c r="E46" s="218">
        <v>9871852.1200000048</v>
      </c>
      <c r="F46" s="214">
        <v>11928607.449999999</v>
      </c>
      <c r="G46" s="494">
        <v>11862572.809999999</v>
      </c>
      <c r="H46" s="214">
        <v>11779334.729999999</v>
      </c>
      <c r="I46" s="218">
        <v>6804375.4500000011</v>
      </c>
      <c r="J46" s="214">
        <v>11075901.489999998</v>
      </c>
      <c r="K46" s="494">
        <v>10844302.640000001</v>
      </c>
      <c r="L46" s="214">
        <v>11672142.660000004</v>
      </c>
      <c r="M46" s="218">
        <v>11706984.009999998</v>
      </c>
      <c r="N46" s="214">
        <v>10446741.51</v>
      </c>
      <c r="O46" s="494">
        <v>10278436.51</v>
      </c>
      <c r="P46" s="214">
        <v>5217414.4599999953</v>
      </c>
      <c r="Q46" s="218">
        <v>9205385.3800000008</v>
      </c>
      <c r="R46" s="214">
        <v>9215565.3200000003</v>
      </c>
      <c r="S46" s="494">
        <v>9286933.5500000007</v>
      </c>
      <c r="T46" s="214">
        <v>6720348.9700000007</v>
      </c>
      <c r="U46" s="218">
        <v>6188181.0499999989</v>
      </c>
      <c r="V46" s="214">
        <v>4973183.5</v>
      </c>
      <c r="W46" s="494">
        <v>10188882.32</v>
      </c>
      <c r="X46" s="214">
        <v>5850564.700000003</v>
      </c>
      <c r="Y46" s="82">
        <v>8476350.7899999972</v>
      </c>
      <c r="Z46" s="214">
        <v>8476350.7899999972</v>
      </c>
      <c r="AA46" s="83">
        <v>7917222.3800000008</v>
      </c>
      <c r="AB46" s="214">
        <v>5375274.379999999</v>
      </c>
      <c r="AC46" s="218">
        <v>7357690.450000003</v>
      </c>
      <c r="AD46" s="214">
        <v>10983113.890014494</v>
      </c>
      <c r="AE46" s="83">
        <v>9342617.2699855063</v>
      </c>
      <c r="AF46" s="214">
        <v>8086673.488935451</v>
      </c>
      <c r="AG46" s="218">
        <v>8158245.1799723664</v>
      </c>
      <c r="AH46" s="214">
        <v>7939497.212136942</v>
      </c>
      <c r="AI46" s="83">
        <v>6834774.3765075067</v>
      </c>
      <c r="AJ46" s="214">
        <v>7380954.2457432179</v>
      </c>
      <c r="AK46" s="218">
        <v>5146658.5679622907</v>
      </c>
      <c r="AL46" s="214">
        <v>5833700.3799999999</v>
      </c>
      <c r="AM46" s="83">
        <v>6037639.5800000001</v>
      </c>
      <c r="AN46" s="232">
        <v>6270337.3600000003</v>
      </c>
      <c r="AO46" s="218">
        <v>6505697.1399999987</v>
      </c>
      <c r="AP46" s="214">
        <v>3382276.4700000007</v>
      </c>
      <c r="AQ46" s="83">
        <v>6362827.7199999997</v>
      </c>
      <c r="AR46" s="78">
        <v>2998487.5492324382</v>
      </c>
      <c r="AS46" s="79">
        <v>4873953.3936198074</v>
      </c>
      <c r="AT46" s="78">
        <v>4888274.667421204</v>
      </c>
      <c r="AU46" s="83">
        <v>5354532.0397265488</v>
      </c>
      <c r="AV46" s="78">
        <v>5365403.558958875</v>
      </c>
      <c r="AW46" s="79">
        <v>5184643.6642113831</v>
      </c>
      <c r="AX46" s="78">
        <v>5357739.0681558205</v>
      </c>
      <c r="AY46" s="83">
        <v>5318978.9686739231</v>
      </c>
      <c r="AZ46" s="78">
        <v>3190612.2420949899</v>
      </c>
      <c r="BA46" s="79">
        <v>8761000</v>
      </c>
      <c r="BB46" s="78">
        <v>6252000</v>
      </c>
      <c r="BC46" s="82">
        <v>7922000</v>
      </c>
    </row>
    <row r="47" spans="1:55" ht="27.9" customHeight="1">
      <c r="A47" s="144"/>
      <c r="B47" s="213"/>
      <c r="C47" s="80"/>
      <c r="D47" s="213"/>
      <c r="E47" s="79"/>
      <c r="F47" s="213"/>
      <c r="G47" s="80"/>
      <c r="H47" s="213"/>
      <c r="I47" s="79"/>
      <c r="J47" s="213"/>
      <c r="K47" s="80"/>
      <c r="L47" s="213"/>
      <c r="M47" s="79"/>
      <c r="N47" s="213"/>
      <c r="O47" s="80"/>
      <c r="P47" s="213"/>
      <c r="Q47" s="79"/>
      <c r="R47" s="213"/>
      <c r="S47" s="80"/>
      <c r="T47" s="213"/>
      <c r="U47" s="79"/>
      <c r="V47" s="213"/>
      <c r="W47" s="80"/>
      <c r="X47" s="213"/>
      <c r="Y47" s="79"/>
      <c r="Z47" s="213"/>
      <c r="AA47" s="80"/>
      <c r="AB47" s="478"/>
      <c r="AC47" s="79"/>
      <c r="AD47" s="213"/>
      <c r="AE47" s="80"/>
      <c r="AF47" s="213"/>
      <c r="AG47" s="79"/>
      <c r="AH47" s="213"/>
      <c r="AI47" s="80"/>
      <c r="AJ47" s="213"/>
      <c r="AK47" s="79"/>
      <c r="AL47" s="213"/>
      <c r="AM47" s="80"/>
      <c r="AN47" s="231"/>
      <c r="AO47" s="79"/>
      <c r="AP47" s="213"/>
      <c r="AQ47" s="83"/>
      <c r="AR47" s="78"/>
      <c r="AS47" s="79"/>
      <c r="AT47" s="78"/>
      <c r="AU47" s="80"/>
      <c r="AV47" s="78"/>
      <c r="AW47" s="79"/>
      <c r="AX47" s="78"/>
      <c r="AY47" s="80"/>
      <c r="AZ47" s="78"/>
      <c r="BA47" s="79"/>
      <c r="BB47" s="78"/>
      <c r="BC47" s="79"/>
    </row>
    <row r="48" spans="1:55" ht="27.9" customHeight="1">
      <c r="A48" s="145" t="s">
        <v>111</v>
      </c>
      <c r="B48" s="214">
        <f t="shared" ref="B48" si="83">B44-B46</f>
        <v>1712503.7399999984</v>
      </c>
      <c r="C48" s="494">
        <f>C44-C46</f>
        <v>1515444.5600000005</v>
      </c>
      <c r="D48" s="214">
        <f t="shared" ref="D48:X48" si="84">D44-D46</f>
        <v>1602377.6400000062</v>
      </c>
      <c r="E48" s="218">
        <f t="shared" si="84"/>
        <v>1480561.5999999922</v>
      </c>
      <c r="F48" s="214">
        <f t="shared" si="84"/>
        <v>806442.78000000119</v>
      </c>
      <c r="G48" s="494">
        <f t="shared" si="84"/>
        <v>1243016.5</v>
      </c>
      <c r="H48" s="214">
        <f t="shared" si="84"/>
        <v>2423563.7600000016</v>
      </c>
      <c r="I48" s="218">
        <f t="shared" si="84"/>
        <v>1426970.040000001</v>
      </c>
      <c r="J48" s="214">
        <f t="shared" si="84"/>
        <v>-1245857.9900000002</v>
      </c>
      <c r="K48" s="494">
        <f t="shared" si="84"/>
        <v>-1037921.25</v>
      </c>
      <c r="L48" s="214">
        <f t="shared" si="84"/>
        <v>6112.7299999948591</v>
      </c>
      <c r="M48" s="218">
        <f t="shared" si="84"/>
        <v>-316305.37999999523</v>
      </c>
      <c r="N48" s="214">
        <f t="shared" si="84"/>
        <v>-73155.439999999478</v>
      </c>
      <c r="O48" s="494">
        <f t="shared" si="84"/>
        <v>72451.810000000522</v>
      </c>
      <c r="P48" s="214">
        <f t="shared" si="84"/>
        <v>3937251.5900000036</v>
      </c>
      <c r="Q48" s="218">
        <f t="shared" si="84"/>
        <v>-1361972.0700000003</v>
      </c>
      <c r="R48" s="214">
        <f t="shared" si="84"/>
        <v>-1081078.0300000012</v>
      </c>
      <c r="S48" s="494">
        <f t="shared" si="84"/>
        <v>-1003905.2599999998</v>
      </c>
      <c r="T48" s="214">
        <f t="shared" si="84"/>
        <v>1258246.58</v>
      </c>
      <c r="U48" s="218">
        <f t="shared" si="84"/>
        <v>729923.6100000022</v>
      </c>
      <c r="V48" s="214">
        <f t="shared" si="84"/>
        <v>1014174.5899999999</v>
      </c>
      <c r="W48" s="494">
        <f t="shared" si="84"/>
        <v>-1411791.0300000012</v>
      </c>
      <c r="X48" s="214">
        <f t="shared" si="84"/>
        <v>1889309.9199999962</v>
      </c>
      <c r="Y48" s="82">
        <v>262717.56000000425</v>
      </c>
      <c r="Z48" s="214">
        <f t="shared" ref="Z48:AP48" si="85">Z44-Z46</f>
        <v>262717.56000000425</v>
      </c>
      <c r="AA48" s="83">
        <f t="shared" si="85"/>
        <v>451632.90999999922</v>
      </c>
      <c r="AB48" s="214">
        <f t="shared" si="85"/>
        <v>2353036.9699999988</v>
      </c>
      <c r="AC48" s="218">
        <f t="shared" si="85"/>
        <v>-1386960.2400000002</v>
      </c>
      <c r="AD48" s="214">
        <f t="shared" si="85"/>
        <v>-568303.66001449525</v>
      </c>
      <c r="AE48" s="83">
        <f t="shared" si="85"/>
        <v>231919.37001449428</v>
      </c>
      <c r="AF48" s="214">
        <f t="shared" si="85"/>
        <v>354443.26106454898</v>
      </c>
      <c r="AG48" s="218">
        <f t="shared" si="85"/>
        <v>387853.65002763737</v>
      </c>
      <c r="AH48" s="214">
        <f t="shared" si="85"/>
        <v>-70130.602136944421</v>
      </c>
      <c r="AI48" s="83">
        <f t="shared" si="85"/>
        <v>154904.12349249516</v>
      </c>
      <c r="AJ48" s="214">
        <f t="shared" si="85"/>
        <v>773462.21425678115</v>
      </c>
      <c r="AK48" s="218">
        <f t="shared" si="85"/>
        <v>483950.34203770943</v>
      </c>
      <c r="AL48" s="214">
        <f t="shared" si="85"/>
        <v>537632.33000000007</v>
      </c>
      <c r="AM48" s="83">
        <f t="shared" si="85"/>
        <v>559653.21999999974</v>
      </c>
      <c r="AN48" s="232">
        <f t="shared" si="85"/>
        <v>-480044.20000000112</v>
      </c>
      <c r="AO48" s="218">
        <f t="shared" si="85"/>
        <v>1303672.7100000009</v>
      </c>
      <c r="AP48" s="214">
        <f t="shared" si="85"/>
        <v>1045670.1400000006</v>
      </c>
      <c r="AQ48" s="83">
        <v>659170.27</v>
      </c>
      <c r="AR48" s="78">
        <f>'SEGMENTY I'!AR48-'SEGMENTY I'!AS48</f>
        <v>2013633.6507675573</v>
      </c>
      <c r="AS48" s="79">
        <f>'SEGMENTY I'!AS48-'SEGMENTY I'!AT48</f>
        <v>824674.56638019718</v>
      </c>
      <c r="AT48" s="78">
        <f>'SEGMENTY I'!AT48-'SEGMENTY I'!AU48</f>
        <v>1132041.5325787952</v>
      </c>
      <c r="AU48" s="83">
        <v>700576.57027345058</v>
      </c>
      <c r="AV48" s="78">
        <f>'SEGMENTY I'!AV48-'SEGMENTY I'!AW48</f>
        <v>690546.83104112558</v>
      </c>
      <c r="AW48" s="79">
        <f>'SEGMENTY I'!AW48-'SEGMENTY I'!AX48</f>
        <v>-234737.7442113813</v>
      </c>
      <c r="AX48" s="78">
        <f>'SEGMENTY I'!AX48-'SEGMENTY I'!AY48</f>
        <v>1888213.8718441781</v>
      </c>
      <c r="AY48" s="83">
        <v>1420245.7913260777</v>
      </c>
      <c r="AZ48" s="78">
        <f>'SEGMENTY I'!AZ48-'SEGMENTY I'!BA48</f>
        <v>4981187.3379050158</v>
      </c>
      <c r="BA48" s="79">
        <f>'SEGMENTY I'!BA48-'SEGMENTY I'!BB48</f>
        <v>-361000</v>
      </c>
      <c r="BB48" s="78">
        <f>'SEGMENTY I'!BB48-'SEGMENTY I'!BC48</f>
        <v>-423000</v>
      </c>
      <c r="BC48" s="82">
        <v>-955000</v>
      </c>
    </row>
    <row r="49" spans="2:15" ht="27.9" customHeight="1">
      <c r="B49" s="267"/>
      <c r="C49" s="473"/>
      <c r="G49" s="473"/>
      <c r="K49"/>
      <c r="O49" s="9"/>
    </row>
    <row r="50" spans="2:15" ht="27.9" customHeight="1">
      <c r="B50" s="267"/>
      <c r="C50" s="111"/>
      <c r="D50" s="267"/>
      <c r="E50" s="267"/>
      <c r="F50" s="267"/>
      <c r="G50" s="110"/>
    </row>
    <row r="51" spans="2:15" ht="27.9" customHeight="1">
      <c r="B51" s="267"/>
      <c r="C51" s="267"/>
      <c r="D51" s="267"/>
      <c r="E51" s="267"/>
      <c r="F51" s="267"/>
    </row>
    <row r="52" spans="2:15" ht="27.9" customHeight="1">
      <c r="B52" s="267"/>
      <c r="C52" s="267"/>
      <c r="D52" s="267"/>
      <c r="F52" s="267"/>
    </row>
    <row r="53" spans="2:15" ht="27.9" customHeight="1">
      <c r="B53" s="267"/>
      <c r="C53" s="267"/>
      <c r="D53" s="267"/>
      <c r="F53" s="267"/>
    </row>
    <row r="54" spans="2:15" ht="27.9" customHeight="1">
      <c r="B54" s="267"/>
      <c r="C54" s="267"/>
      <c r="D54" s="267"/>
      <c r="F54" s="267"/>
    </row>
    <row r="55" spans="2:15" ht="27.9" customHeight="1">
      <c r="B55" s="267"/>
      <c r="C55" s="267"/>
      <c r="D55" s="267"/>
      <c r="F55" s="267"/>
    </row>
    <row r="56" spans="2:15" ht="27.9" customHeight="1">
      <c r="D56" s="267"/>
      <c r="F56" s="267"/>
    </row>
    <row r="57" spans="2:15" ht="27.9" customHeight="1">
      <c r="D57" s="267"/>
      <c r="F57" s="267"/>
    </row>
    <row r="58" spans="2:15" ht="27.9" customHeight="1">
      <c r="D58" s="267"/>
      <c r="F58" s="267"/>
    </row>
    <row r="59" spans="2:15" ht="27.9" customHeight="1">
      <c r="D59" s="267"/>
      <c r="F59" s="267"/>
    </row>
    <row r="60" spans="2:15" ht="27.9" customHeight="1">
      <c r="D60" s="267"/>
      <c r="F60" s="267"/>
    </row>
    <row r="61" spans="2:15" ht="27.9" customHeight="1">
      <c r="D61" s="267"/>
      <c r="F61" s="267"/>
    </row>
    <row r="62" spans="2:15" ht="27.9" customHeight="1">
      <c r="D62" s="267"/>
      <c r="F62" s="267"/>
    </row>
    <row r="63" spans="2:15" ht="27.9" customHeight="1">
      <c r="D63" s="267"/>
      <c r="F63" s="267"/>
    </row>
    <row r="64" spans="2:15" ht="27.9" customHeight="1">
      <c r="D64" s="267"/>
      <c r="F64" s="267"/>
    </row>
    <row r="65" spans="4:6" ht="27.9" customHeight="1">
      <c r="D65" s="267"/>
      <c r="F65" s="267"/>
    </row>
    <row r="66" spans="4:6" ht="27.9" customHeight="1">
      <c r="D66" s="267"/>
      <c r="F66" s="267"/>
    </row>
    <row r="67" spans="4:6" ht="27.9" customHeight="1">
      <c r="D67" s="267"/>
      <c r="F67" s="267"/>
    </row>
    <row r="68" spans="4:6" ht="27.9" customHeight="1">
      <c r="D68" s="267"/>
      <c r="F68" s="267"/>
    </row>
    <row r="69" spans="4:6" ht="27.9" customHeight="1">
      <c r="D69" s="267"/>
      <c r="F69" s="267"/>
    </row>
    <row r="70" spans="4:6" ht="27.9" customHeight="1">
      <c r="D70" s="267"/>
      <c r="F70" s="267"/>
    </row>
    <row r="71" spans="4:6" ht="27.9" customHeight="1">
      <c r="D71" s="267"/>
      <c r="F71" s="267"/>
    </row>
    <row r="72" spans="4:6">
      <c r="D72" s="267"/>
      <c r="F72" s="267"/>
    </row>
    <row r="73" spans="4:6">
      <c r="D73" s="267"/>
      <c r="F73" s="267"/>
    </row>
    <row r="74" spans="4:6">
      <c r="D74" s="267"/>
      <c r="F74" s="267"/>
    </row>
    <row r="75" spans="4:6">
      <c r="D75" s="267"/>
      <c r="F75" s="267"/>
    </row>
    <row r="76" spans="4:6">
      <c r="D76" s="267"/>
      <c r="F76" s="267"/>
    </row>
    <row r="77" spans="4:6">
      <c r="D77" s="267"/>
      <c r="F77" s="267"/>
    </row>
    <row r="78" spans="4:6">
      <c r="D78" s="267"/>
      <c r="F78" s="267"/>
    </row>
    <row r="79" spans="4:6">
      <c r="D79" s="267"/>
      <c r="F79" s="267"/>
    </row>
    <row r="80" spans="4:6">
      <c r="D80" s="267"/>
      <c r="F80" s="267"/>
    </row>
    <row r="81" spans="4:6">
      <c r="D81" s="267"/>
      <c r="F81" s="267"/>
    </row>
    <row r="82" spans="4:6">
      <c r="D82" s="267"/>
      <c r="F82" s="267"/>
    </row>
    <row r="83" spans="4:6">
      <c r="D83" s="267"/>
      <c r="F83" s="267"/>
    </row>
    <row r="84" spans="4:6">
      <c r="D84" s="267"/>
      <c r="F84" s="267"/>
    </row>
    <row r="85" spans="4:6">
      <c r="D85" s="267"/>
      <c r="F85" s="267"/>
    </row>
    <row r="86" spans="4:6">
      <c r="D86" s="267"/>
      <c r="F86" s="267"/>
    </row>
    <row r="87" spans="4:6">
      <c r="D87" s="267"/>
      <c r="F87" s="267"/>
    </row>
    <row r="88" spans="4:6">
      <c r="D88" s="267"/>
      <c r="F88" s="267"/>
    </row>
    <row r="89" spans="4:6">
      <c r="D89" s="267"/>
      <c r="F89" s="267"/>
    </row>
    <row r="90" spans="4:6">
      <c r="D90" s="267"/>
      <c r="F90" s="267"/>
    </row>
    <row r="91" spans="4:6">
      <c r="D91" s="267"/>
      <c r="F91" s="267"/>
    </row>
    <row r="92" spans="4:6">
      <c r="D92" s="267"/>
      <c r="F92" s="267"/>
    </row>
    <row r="93" spans="4:6">
      <c r="D93" s="267"/>
      <c r="F93" s="267"/>
    </row>
    <row r="94" spans="4:6">
      <c r="D94" s="267"/>
      <c r="F94" s="267"/>
    </row>
    <row r="95" spans="4:6">
      <c r="D95" s="267"/>
      <c r="F95" s="267"/>
    </row>
    <row r="96" spans="4:6">
      <c r="D96" s="267"/>
      <c r="F96" s="267"/>
    </row>
    <row r="97" spans="4:6">
      <c r="D97" s="267"/>
      <c r="F97" s="267"/>
    </row>
    <row r="98" spans="4:6">
      <c r="D98" s="267"/>
      <c r="F98" s="267"/>
    </row>
    <row r="99" spans="4:6">
      <c r="D99" s="267"/>
      <c r="F99" s="267"/>
    </row>
    <row r="100" spans="4:6">
      <c r="D100" s="267"/>
      <c r="F100" s="267"/>
    </row>
    <row r="101" spans="4:6">
      <c r="D101" s="267"/>
      <c r="F101" s="267"/>
    </row>
    <row r="102" spans="4:6">
      <c r="D102" s="267"/>
      <c r="F102" s="267"/>
    </row>
    <row r="103" spans="4:6">
      <c r="D103" s="267"/>
      <c r="F103" s="267"/>
    </row>
    <row r="104" spans="4:6">
      <c r="D104" s="267"/>
      <c r="F104" s="267"/>
    </row>
    <row r="105" spans="4:6">
      <c r="D105" s="267"/>
      <c r="F105" s="267"/>
    </row>
    <row r="106" spans="4:6">
      <c r="D106" s="267"/>
      <c r="F106" s="267"/>
    </row>
    <row r="107" spans="4:6">
      <c r="D107" s="267"/>
      <c r="F107" s="267"/>
    </row>
    <row r="108" spans="4:6">
      <c r="D108" s="267"/>
      <c r="F108" s="267"/>
    </row>
    <row r="109" spans="4:6">
      <c r="D109" s="267"/>
      <c r="F109" s="267"/>
    </row>
    <row r="110" spans="4:6">
      <c r="D110" s="267"/>
      <c r="F110" s="267"/>
    </row>
    <row r="111" spans="4:6">
      <c r="D111" s="267"/>
      <c r="F111" s="267"/>
    </row>
    <row r="112" spans="4:6">
      <c r="D112" s="267"/>
      <c r="F112" s="267"/>
    </row>
    <row r="113" spans="4:6">
      <c r="D113" s="267"/>
      <c r="F113" s="267"/>
    </row>
    <row r="114" spans="4:6">
      <c r="D114" s="267"/>
      <c r="F114" s="267"/>
    </row>
    <row r="115" spans="4:6">
      <c r="D115" s="267"/>
      <c r="F115" s="267"/>
    </row>
    <row r="116" spans="4:6">
      <c r="D116" s="267"/>
      <c r="F116" s="267"/>
    </row>
    <row r="117" spans="4:6">
      <c r="D117" s="267"/>
      <c r="F117" s="267"/>
    </row>
    <row r="118" spans="4:6">
      <c r="D118" s="267"/>
      <c r="F118" s="267"/>
    </row>
    <row r="119" spans="4:6">
      <c r="D119" s="267"/>
      <c r="F119" s="267"/>
    </row>
    <row r="120" spans="4:6">
      <c r="D120" s="267"/>
      <c r="F120" s="267"/>
    </row>
    <row r="121" spans="4:6">
      <c r="D121" s="267"/>
      <c r="F121" s="267"/>
    </row>
    <row r="122" spans="4:6">
      <c r="D122" s="267"/>
      <c r="F122" s="267"/>
    </row>
    <row r="123" spans="4:6">
      <c r="D123" s="267"/>
      <c r="F123" s="267"/>
    </row>
    <row r="124" spans="4:6">
      <c r="D124" s="267"/>
      <c r="F124" s="267"/>
    </row>
    <row r="125" spans="4:6">
      <c r="D125" s="267"/>
      <c r="F125" s="267"/>
    </row>
    <row r="126" spans="4:6">
      <c r="D126" s="267"/>
      <c r="F126" s="267"/>
    </row>
    <row r="127" spans="4:6">
      <c r="D127" s="267"/>
      <c r="F127" s="267"/>
    </row>
    <row r="128" spans="4:6">
      <c r="D128" s="267"/>
      <c r="F128" s="267"/>
    </row>
    <row r="129" spans="4:6">
      <c r="D129" s="267"/>
      <c r="F129" s="267"/>
    </row>
    <row r="130" spans="4:6">
      <c r="D130" s="267"/>
      <c r="F130" s="267"/>
    </row>
    <row r="131" spans="4:6">
      <c r="D131" s="267"/>
      <c r="F131" s="267"/>
    </row>
    <row r="132" spans="4:6">
      <c r="D132" s="267"/>
      <c r="F132" s="267"/>
    </row>
    <row r="133" spans="4:6">
      <c r="D133" s="267"/>
      <c r="F133" s="267"/>
    </row>
    <row r="134" spans="4:6">
      <c r="D134" s="267"/>
      <c r="F134" s="267"/>
    </row>
    <row r="135" spans="4:6">
      <c r="D135" s="267"/>
      <c r="F135" s="267"/>
    </row>
    <row r="136" spans="4:6">
      <c r="D136" s="267"/>
      <c r="F136" s="267"/>
    </row>
    <row r="137" spans="4:6">
      <c r="D137" s="267"/>
      <c r="F137" s="267"/>
    </row>
    <row r="138" spans="4:6">
      <c r="D138" s="267"/>
      <c r="F138" s="267"/>
    </row>
    <row r="139" spans="4:6">
      <c r="D139" s="267"/>
      <c r="F139" s="267"/>
    </row>
    <row r="140" spans="4:6">
      <c r="D140" s="267"/>
      <c r="F140" s="267"/>
    </row>
    <row r="141" spans="4:6">
      <c r="D141" s="267"/>
      <c r="F141" s="267"/>
    </row>
    <row r="142" spans="4:6">
      <c r="D142" s="267"/>
      <c r="F142" s="267"/>
    </row>
    <row r="143" spans="4:6">
      <c r="D143" s="267"/>
      <c r="F143" s="267"/>
    </row>
    <row r="144" spans="4:6">
      <c r="D144" s="267"/>
      <c r="F144" s="267"/>
    </row>
    <row r="145" spans="4:6">
      <c r="D145" s="267"/>
      <c r="F145" s="267"/>
    </row>
    <row r="146" spans="4:6">
      <c r="D146" s="267"/>
    </row>
    <row r="147" spans="4:6">
      <c r="D147" s="267"/>
    </row>
    <row r="148" spans="4:6">
      <c r="D148" s="267"/>
    </row>
    <row r="149" spans="4:6">
      <c r="D149" s="267"/>
    </row>
    <row r="150" spans="4:6">
      <c r="D150" s="267"/>
    </row>
    <row r="151" spans="4:6">
      <c r="D151" s="267"/>
    </row>
    <row r="152" spans="4:6">
      <c r="D152" s="267"/>
    </row>
    <row r="153" spans="4:6">
      <c r="D153" s="267"/>
    </row>
    <row r="154" spans="4:6">
      <c r="D154" s="267"/>
    </row>
    <row r="155" spans="4:6">
      <c r="D155" s="267"/>
    </row>
    <row r="156" spans="4:6">
      <c r="D156" s="267"/>
    </row>
    <row r="157" spans="4:6">
      <c r="D157" s="267"/>
    </row>
    <row r="158" spans="4:6">
      <c r="D158" s="267"/>
    </row>
    <row r="159" spans="4:6">
      <c r="D159" s="267"/>
    </row>
    <row r="160" spans="4:6">
      <c r="D160" s="267"/>
    </row>
    <row r="161" spans="4:4">
      <c r="D161" s="267"/>
    </row>
    <row r="162" spans="4:4">
      <c r="D162" s="267"/>
    </row>
    <row r="163" spans="4:4">
      <c r="D163" s="267"/>
    </row>
    <row r="164" spans="4:4">
      <c r="D164" s="267"/>
    </row>
    <row r="165" spans="4:4">
      <c r="D165" s="267"/>
    </row>
    <row r="166" spans="4:4">
      <c r="D166" s="267"/>
    </row>
    <row r="167" spans="4:4">
      <c r="D167" s="267"/>
    </row>
    <row r="168" spans="4:4">
      <c r="D168" s="267"/>
    </row>
    <row r="169" spans="4:4">
      <c r="D169" s="267"/>
    </row>
    <row r="170" spans="4:4">
      <c r="D170" s="267"/>
    </row>
    <row r="171" spans="4:4">
      <c r="D171" s="267"/>
    </row>
    <row r="172" spans="4:4">
      <c r="D172" s="267"/>
    </row>
    <row r="173" spans="4:4">
      <c r="D173" s="267"/>
    </row>
    <row r="174" spans="4:4">
      <c r="D174" s="267"/>
    </row>
    <row r="175" spans="4:4">
      <c r="D175" s="267"/>
    </row>
    <row r="176" spans="4:4">
      <c r="D176" s="267"/>
    </row>
    <row r="177" spans="4:4">
      <c r="D177" s="267"/>
    </row>
    <row r="178" spans="4:4">
      <c r="D178" s="267"/>
    </row>
    <row r="179" spans="4:4">
      <c r="D179" s="267"/>
    </row>
    <row r="180" spans="4:4">
      <c r="D180" s="267"/>
    </row>
    <row r="181" spans="4:4">
      <c r="D181" s="267"/>
    </row>
    <row r="182" spans="4:4">
      <c r="D182" s="267"/>
    </row>
  </sheetData>
  <mergeCells count="4">
    <mergeCell ref="W39:AR39"/>
    <mergeCell ref="W27:AR27"/>
    <mergeCell ref="W15:AR15"/>
    <mergeCell ref="I3:AD3"/>
  </mergeCells>
  <phoneticPr fontId="72" type="noConversion"/>
  <pageMargins left="0.19685039370078741" right="0" top="0.19685039370078741" bottom="0.19685039370078741" header="0" footer="0"/>
  <pageSetup paperSize="9" scale="31" orientation="landscape" horizontalDpi="4294967293" verticalDpi="4294967293" r:id="rId1"/>
  <headerFooter>
    <oddFooter>&amp;RREDWOOD PR
powered by PROFESCAPITAL</oddFooter>
  </headerFooter>
  <colBreaks count="2" manualBreakCount="2">
    <brk id="23" max="49" man="1"/>
    <brk id="24" max="1048575" man="1"/>
  </colBreaks>
  <ignoredErrors>
    <ignoredError sqref="AI44:AO45 AI32:AO33 AI20:AO21 AI8:AO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BC26"/>
  <sheetViews>
    <sheetView showGridLines="0" zoomScale="60" zoomScaleNormal="60" zoomScaleSheetLayoutView="40" zoomScalePageLayoutView="50" workbookViewId="0">
      <pane xSplit="1" topLeftCell="B1" activePane="topRight" state="frozen"/>
      <selection activeCell="J51" sqref="J51"/>
      <selection pane="topRight" activeCell="B16" sqref="B16"/>
    </sheetView>
  </sheetViews>
  <sheetFormatPr defaultRowHeight="18"/>
  <cols>
    <col min="1" max="1" width="86.109375" customWidth="1"/>
    <col min="2" max="2" width="23.33203125" customWidth="1"/>
    <col min="3" max="3" width="25.109375" customWidth="1"/>
    <col min="4" max="6" width="21.6640625" customWidth="1"/>
    <col min="7" max="7" width="25.109375" customWidth="1"/>
    <col min="8" max="10" width="21.6640625" customWidth="1"/>
    <col min="11" max="11" width="21.5546875" customWidth="1"/>
    <col min="12" max="12" width="21.6640625" customWidth="1"/>
    <col min="13" max="14" width="21.6640625" style="9" customWidth="1"/>
    <col min="15" max="30" width="21.6640625" customWidth="1"/>
    <col min="31" max="31" width="17.6640625" customWidth="1"/>
    <col min="32" max="32" width="22.6640625" customWidth="1"/>
    <col min="33" max="33" width="23.88671875" customWidth="1"/>
    <col min="34" max="34" width="15.88671875" customWidth="1"/>
    <col min="35" max="35" width="16.5546875" customWidth="1"/>
  </cols>
  <sheetData>
    <row r="1" spans="1:55" ht="50.1" customHeight="1">
      <c r="A1" s="372" t="s">
        <v>145</v>
      </c>
      <c r="B1" s="372"/>
      <c r="C1" s="372"/>
      <c r="D1" s="372"/>
      <c r="E1" s="107"/>
      <c r="F1" s="107"/>
      <c r="G1" s="372"/>
      <c r="H1" s="372"/>
      <c r="I1" s="107"/>
      <c r="J1" s="107"/>
      <c r="K1" s="107"/>
      <c r="L1" s="107"/>
      <c r="M1" s="198"/>
      <c r="N1" s="198"/>
      <c r="O1" s="2"/>
      <c r="P1" s="2"/>
      <c r="Q1" s="2"/>
      <c r="R1" s="2"/>
      <c r="S1" s="2"/>
      <c r="T1" s="2"/>
      <c r="U1" s="2"/>
      <c r="V1" s="2"/>
      <c r="W1" s="2"/>
      <c r="X1" s="2"/>
      <c r="Y1" s="108"/>
      <c r="Z1" s="109"/>
      <c r="AA1" s="2"/>
      <c r="AB1" s="2"/>
      <c r="AC1" s="2"/>
      <c r="AD1" s="2"/>
    </row>
    <row r="2" spans="1:55" ht="27.9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68"/>
      <c r="N2" s="168"/>
    </row>
    <row r="3" spans="1:55" ht="27.9" customHeight="1">
      <c r="A3" s="373" t="s">
        <v>143</v>
      </c>
      <c r="B3" s="373"/>
      <c r="C3" s="373"/>
      <c r="D3" s="373"/>
      <c r="E3" s="4"/>
      <c r="F3" s="4"/>
      <c r="G3" s="373"/>
      <c r="H3" s="37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55" ht="27.9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199"/>
      <c r="O4" s="199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55" ht="27.9" customHeight="1">
      <c r="A5" s="262"/>
      <c r="B5" s="200" t="s">
        <v>287</v>
      </c>
      <c r="C5" s="197" t="s">
        <v>285</v>
      </c>
      <c r="D5" s="200" t="s">
        <v>283</v>
      </c>
      <c r="E5" s="197" t="s">
        <v>278</v>
      </c>
      <c r="F5" s="200" t="s">
        <v>276</v>
      </c>
      <c r="G5" s="197" t="s">
        <v>274</v>
      </c>
      <c r="H5" s="200" t="s">
        <v>273</v>
      </c>
      <c r="I5" s="197" t="s">
        <v>268</v>
      </c>
      <c r="J5" s="200" t="s">
        <v>266</v>
      </c>
      <c r="K5" s="197" t="s">
        <v>264</v>
      </c>
      <c r="L5" s="200" t="s">
        <v>256</v>
      </c>
      <c r="M5" s="94" t="s">
        <v>252</v>
      </c>
      <c r="N5" s="200" t="s">
        <v>249</v>
      </c>
      <c r="O5" s="197" t="s">
        <v>247</v>
      </c>
      <c r="P5" s="200" t="s">
        <v>245</v>
      </c>
      <c r="Q5" s="94" t="s">
        <v>241</v>
      </c>
      <c r="R5" s="200" t="s">
        <v>239</v>
      </c>
      <c r="S5" s="197" t="s">
        <v>237</v>
      </c>
      <c r="T5" s="200" t="s">
        <v>235</v>
      </c>
      <c r="U5" s="94" t="s">
        <v>230</v>
      </c>
      <c r="V5" s="200" t="s">
        <v>227</v>
      </c>
      <c r="W5" s="197" t="s">
        <v>225</v>
      </c>
      <c r="X5" s="200" t="s">
        <v>220</v>
      </c>
      <c r="Y5" s="94" t="s">
        <v>216</v>
      </c>
      <c r="Z5" s="200" t="s">
        <v>214</v>
      </c>
      <c r="AA5" s="197" t="s">
        <v>212</v>
      </c>
      <c r="AB5" s="200" t="s">
        <v>208</v>
      </c>
      <c r="AC5" s="94" t="s">
        <v>206</v>
      </c>
      <c r="AD5" s="200" t="s">
        <v>203</v>
      </c>
      <c r="AE5" s="197" t="s">
        <v>202</v>
      </c>
      <c r="AF5" s="200" t="s">
        <v>201</v>
      </c>
      <c r="AG5" s="94" t="s">
        <v>198</v>
      </c>
      <c r="AH5" s="200" t="s">
        <v>192</v>
      </c>
      <c r="AI5" s="197" t="s">
        <v>190</v>
      </c>
      <c r="AJ5" s="200" t="s">
        <v>196</v>
      </c>
      <c r="AK5" s="94" t="s">
        <v>187</v>
      </c>
      <c r="AL5" s="200" t="s">
        <v>185</v>
      </c>
      <c r="AM5" s="197" t="s">
        <v>183</v>
      </c>
      <c r="AN5" s="234" t="s">
        <v>181</v>
      </c>
      <c r="AO5" s="94" t="s">
        <v>179</v>
      </c>
      <c r="AP5" s="200" t="s">
        <v>175</v>
      </c>
      <c r="AQ5" s="197" t="s">
        <v>155</v>
      </c>
      <c r="AR5" s="93" t="s">
        <v>114</v>
      </c>
      <c r="AS5" s="94" t="s">
        <v>14</v>
      </c>
      <c r="AT5" s="93" t="s">
        <v>15</v>
      </c>
      <c r="AU5" s="95" t="s">
        <v>16</v>
      </c>
      <c r="AV5" s="96" t="s">
        <v>17</v>
      </c>
      <c r="AW5" s="94" t="s">
        <v>18</v>
      </c>
      <c r="AX5" s="93" t="s">
        <v>19</v>
      </c>
      <c r="AY5" s="99" t="s">
        <v>20</v>
      </c>
      <c r="AZ5" s="96" t="s">
        <v>21</v>
      </c>
      <c r="BA5" s="94" t="s">
        <v>22</v>
      </c>
      <c r="BB5" s="93" t="s">
        <v>23</v>
      </c>
      <c r="BC5" s="94" t="s">
        <v>24</v>
      </c>
    </row>
    <row r="6" spans="1:55" ht="27.9" customHeight="1">
      <c r="A6" s="263" t="s">
        <v>77</v>
      </c>
      <c r="B6" s="201">
        <v>150270</v>
      </c>
      <c r="C6" s="202">
        <v>150270</v>
      </c>
      <c r="D6" s="201">
        <v>150270</v>
      </c>
      <c r="E6" s="202">
        <v>150270</v>
      </c>
      <c r="F6" s="201">
        <v>150270</v>
      </c>
      <c r="G6" s="202">
        <v>150270</v>
      </c>
      <c r="H6" s="201">
        <v>150270</v>
      </c>
      <c r="I6" s="202">
        <v>150270</v>
      </c>
      <c r="J6" s="201">
        <v>150270</v>
      </c>
      <c r="K6" s="202">
        <v>150270</v>
      </c>
      <c r="L6" s="201">
        <v>150270</v>
      </c>
      <c r="M6" s="101">
        <v>150270</v>
      </c>
      <c r="N6" s="201">
        <v>150270</v>
      </c>
      <c r="O6" s="202">
        <v>150270</v>
      </c>
      <c r="P6" s="201">
        <v>150270</v>
      </c>
      <c r="Q6" s="101">
        <v>150270</v>
      </c>
      <c r="R6" s="201">
        <v>150270</v>
      </c>
      <c r="S6" s="202">
        <v>150270</v>
      </c>
      <c r="T6" s="201">
        <v>150270</v>
      </c>
      <c r="U6" s="101">
        <v>150270</v>
      </c>
      <c r="V6" s="201">
        <v>150270</v>
      </c>
      <c r="W6" s="202">
        <v>150270</v>
      </c>
      <c r="X6" s="201">
        <v>109270</v>
      </c>
      <c r="Y6" s="101">
        <v>109270</v>
      </c>
      <c r="Z6" s="201">
        <v>109270</v>
      </c>
      <c r="AA6" s="202">
        <v>109270</v>
      </c>
      <c r="AB6" s="201">
        <v>109270</v>
      </c>
      <c r="AC6" s="101">
        <v>109270</v>
      </c>
      <c r="AD6" s="201">
        <v>109270</v>
      </c>
      <c r="AE6" s="202">
        <v>109270</v>
      </c>
      <c r="AF6" s="201">
        <v>109270</v>
      </c>
      <c r="AG6" s="101">
        <v>109270</v>
      </c>
      <c r="AH6" s="201">
        <v>109270</v>
      </c>
      <c r="AI6" s="202">
        <v>109270</v>
      </c>
      <c r="AJ6" s="201">
        <v>109270</v>
      </c>
      <c r="AK6" s="101">
        <v>109270</v>
      </c>
      <c r="AL6" s="201">
        <v>109270</v>
      </c>
      <c r="AM6" s="202">
        <v>109270</v>
      </c>
      <c r="AN6" s="236">
        <v>109270</v>
      </c>
      <c r="AO6" s="101">
        <v>109270</v>
      </c>
      <c r="AP6" s="201">
        <v>109270</v>
      </c>
      <c r="AQ6" s="202">
        <v>109270</v>
      </c>
      <c r="AR6" s="100">
        <v>109270</v>
      </c>
      <c r="AS6" s="101">
        <v>109270</v>
      </c>
      <c r="AT6" s="100">
        <v>109270</v>
      </c>
      <c r="AU6" s="103">
        <v>109270</v>
      </c>
      <c r="AV6" s="102">
        <v>109270</v>
      </c>
      <c r="AW6" s="101">
        <v>109270</v>
      </c>
      <c r="AX6" s="100">
        <v>109270</v>
      </c>
      <c r="AY6" s="103">
        <v>109270</v>
      </c>
      <c r="AZ6" s="102">
        <v>109270</v>
      </c>
      <c r="BA6" s="101">
        <v>109270</v>
      </c>
      <c r="BB6" s="100">
        <v>109270</v>
      </c>
      <c r="BC6" s="101">
        <v>109270</v>
      </c>
    </row>
    <row r="7" spans="1:55" ht="27.9" customHeight="1">
      <c r="A7" s="264" t="s">
        <v>78</v>
      </c>
      <c r="B7" s="30">
        <v>3.46</v>
      </c>
      <c r="C7" s="203">
        <v>3.16</v>
      </c>
      <c r="D7" s="30">
        <v>3.08</v>
      </c>
      <c r="E7" s="203">
        <v>2.9</v>
      </c>
      <c r="F7" s="30">
        <v>2.61</v>
      </c>
      <c r="G7" s="203">
        <v>2.5099999999999998</v>
      </c>
      <c r="H7" s="30">
        <v>2.42</v>
      </c>
      <c r="I7" s="203">
        <v>2.16</v>
      </c>
      <c r="J7" s="30">
        <v>2.14</v>
      </c>
      <c r="K7" s="203">
        <v>2.13</v>
      </c>
      <c r="L7" s="30">
        <v>2.11</v>
      </c>
      <c r="M7" s="97">
        <v>2.13</v>
      </c>
      <c r="N7" s="30">
        <v>2.12</v>
      </c>
      <c r="O7" s="203">
        <v>2.04</v>
      </c>
      <c r="P7" s="30">
        <v>1.96</v>
      </c>
      <c r="Q7" s="97">
        <v>1.95</v>
      </c>
      <c r="R7" s="30">
        <v>1.92</v>
      </c>
      <c r="S7" s="203">
        <v>1.87</v>
      </c>
      <c r="T7" s="30">
        <v>1.81</v>
      </c>
      <c r="U7" s="97">
        <v>1.79</v>
      </c>
      <c r="V7" s="30">
        <v>1.77</v>
      </c>
      <c r="W7" s="203">
        <v>1.68</v>
      </c>
      <c r="X7" s="30">
        <v>2.2000000000000002</v>
      </c>
      <c r="Y7" s="97">
        <v>2.15</v>
      </c>
      <c r="Z7" s="30">
        <v>2.15</v>
      </c>
      <c r="AA7" s="203">
        <v>2.02</v>
      </c>
      <c r="AB7" s="30">
        <v>1.99</v>
      </c>
      <c r="AC7" s="97">
        <v>1.96</v>
      </c>
      <c r="AD7" s="30">
        <v>1.98</v>
      </c>
      <c r="AE7" s="209">
        <v>2</v>
      </c>
      <c r="AF7" s="30">
        <v>1.94</v>
      </c>
      <c r="AG7" s="97">
        <v>1.97</v>
      </c>
      <c r="AH7" s="30">
        <v>1.97</v>
      </c>
      <c r="AI7" s="203">
        <v>1.96</v>
      </c>
      <c r="AJ7" s="30">
        <v>1.93</v>
      </c>
      <c r="AK7" s="97">
        <v>1.88</v>
      </c>
      <c r="AL7" s="30">
        <v>1.91</v>
      </c>
      <c r="AM7" s="203">
        <v>1.86</v>
      </c>
      <c r="AN7" s="235">
        <v>1.84</v>
      </c>
      <c r="AO7" s="97">
        <v>1.85</v>
      </c>
      <c r="AP7" s="30">
        <v>1.91</v>
      </c>
      <c r="AQ7" s="203">
        <v>1.85</v>
      </c>
      <c r="AR7" s="52">
        <v>1.83</v>
      </c>
      <c r="AS7" s="97">
        <v>1.82</v>
      </c>
      <c r="AT7" s="52">
        <v>1.83</v>
      </c>
      <c r="AU7" s="98">
        <v>1.74</v>
      </c>
      <c r="AV7" s="104">
        <v>1.69</v>
      </c>
      <c r="AW7" s="97">
        <v>1.72</v>
      </c>
      <c r="AX7" s="105">
        <v>1.72</v>
      </c>
      <c r="AY7" s="98">
        <v>1.67</v>
      </c>
      <c r="AZ7" s="104">
        <v>1.64</v>
      </c>
      <c r="BA7" s="97">
        <v>1.62</v>
      </c>
      <c r="BB7" s="52">
        <v>1.63</v>
      </c>
      <c r="BC7" s="97">
        <v>1.61</v>
      </c>
    </row>
    <row r="8" spans="1:55" ht="27.9" customHeight="1">
      <c r="A8" s="264" t="s">
        <v>162</v>
      </c>
      <c r="B8" s="30">
        <v>0.38</v>
      </c>
      <c r="C8" s="209">
        <v>0.08</v>
      </c>
      <c r="D8" s="30">
        <v>0.67</v>
      </c>
      <c r="E8" s="203">
        <v>0.5</v>
      </c>
      <c r="F8" s="30">
        <v>0.2</v>
      </c>
      <c r="G8" s="209">
        <v>0.1</v>
      </c>
      <c r="H8" s="30">
        <v>0.3</v>
      </c>
      <c r="I8" s="203">
        <v>0.05</v>
      </c>
      <c r="J8" s="30">
        <v>0.03</v>
      </c>
      <c r="K8" s="203">
        <v>0.01</v>
      </c>
      <c r="L8" s="30">
        <v>0.14000000000000001</v>
      </c>
      <c r="M8" s="23">
        <v>0.17</v>
      </c>
      <c r="N8" s="30">
        <v>0.16</v>
      </c>
      <c r="O8" s="203">
        <v>0.08</v>
      </c>
      <c r="P8" s="30">
        <v>0.16</v>
      </c>
      <c r="Q8" s="23">
        <v>0.15</v>
      </c>
      <c r="R8" s="30">
        <v>0.11</v>
      </c>
      <c r="S8" s="203">
        <v>0.06</v>
      </c>
      <c r="T8" s="30">
        <v>0.21</v>
      </c>
      <c r="U8" s="23">
        <v>0.2</v>
      </c>
      <c r="V8" s="30">
        <v>0.17</v>
      </c>
      <c r="W8" s="203">
        <v>0.08</v>
      </c>
      <c r="X8" s="30">
        <v>0.19</v>
      </c>
      <c r="Y8" s="97">
        <v>0.14000000000000001</v>
      </c>
      <c r="Z8" s="30">
        <v>0.14000000000000001</v>
      </c>
      <c r="AA8" s="203">
        <v>0.04</v>
      </c>
      <c r="AB8" s="30">
        <v>0.06</v>
      </c>
      <c r="AC8" s="97">
        <v>0.01</v>
      </c>
      <c r="AD8" s="30">
        <v>0.05</v>
      </c>
      <c r="AE8" s="203">
        <v>0.06</v>
      </c>
      <c r="AF8" s="30">
        <v>0.02</v>
      </c>
      <c r="AG8" s="97">
        <v>0.04</v>
      </c>
      <c r="AH8" s="30">
        <v>0.03</v>
      </c>
      <c r="AI8" s="203">
        <v>0.03</v>
      </c>
      <c r="AJ8" s="30">
        <v>0.1</v>
      </c>
      <c r="AK8" s="97">
        <v>0.06</v>
      </c>
      <c r="AL8" s="30">
        <v>0.09</v>
      </c>
      <c r="AM8" s="203">
        <v>0.04</v>
      </c>
      <c r="AN8" s="235">
        <v>0.02</v>
      </c>
      <c r="AO8" s="97">
        <v>0.02</v>
      </c>
      <c r="AP8" s="30">
        <v>0.09</v>
      </c>
      <c r="AQ8" s="203">
        <v>0.02</v>
      </c>
      <c r="AR8" s="52">
        <v>0.1</v>
      </c>
      <c r="AS8" s="97">
        <v>0.12</v>
      </c>
      <c r="AT8" s="52">
        <v>0.13</v>
      </c>
      <c r="AU8" s="98">
        <v>0.04</v>
      </c>
      <c r="AV8" s="104">
        <v>0.03</v>
      </c>
      <c r="AW8" s="97">
        <v>0.06</v>
      </c>
      <c r="AX8" s="52">
        <v>7.0000000000000007E-2</v>
      </c>
      <c r="AY8" s="98">
        <v>0.03</v>
      </c>
      <c r="AZ8" s="104">
        <v>0.05</v>
      </c>
      <c r="BA8" s="97">
        <v>0.03</v>
      </c>
      <c r="BB8" s="52">
        <v>0.05</v>
      </c>
      <c r="BC8" s="97">
        <v>0.03</v>
      </c>
    </row>
    <row r="9" spans="1:55" ht="27.9" customHeight="1">
      <c r="A9" s="264" t="s">
        <v>79</v>
      </c>
      <c r="B9" s="30">
        <v>23.84</v>
      </c>
      <c r="C9" s="209">
        <v>120</v>
      </c>
      <c r="D9" s="30">
        <v>6.53</v>
      </c>
      <c r="E9" s="209">
        <v>7.49</v>
      </c>
      <c r="F9" s="30">
        <v>20.49</v>
      </c>
      <c r="G9" s="209">
        <v>40.200000000000003</v>
      </c>
      <c r="H9" s="30">
        <v>8.17</v>
      </c>
      <c r="I9" s="209">
        <v>50.4</v>
      </c>
      <c r="J9" s="30">
        <v>101.93</v>
      </c>
      <c r="K9" s="209">
        <v>370</v>
      </c>
      <c r="L9" s="30">
        <v>16</v>
      </c>
      <c r="M9" s="23">
        <v>13.29</v>
      </c>
      <c r="N9" s="30">
        <v>14.66</v>
      </c>
      <c r="O9" s="209">
        <v>35.5</v>
      </c>
      <c r="P9" s="30">
        <v>6.78</v>
      </c>
      <c r="Q9" s="23">
        <v>7.31</v>
      </c>
      <c r="R9" s="30">
        <v>13.02</v>
      </c>
      <c r="S9" s="209">
        <v>24.83</v>
      </c>
      <c r="T9" s="30">
        <v>6.57</v>
      </c>
      <c r="U9" s="106">
        <v>6.45</v>
      </c>
      <c r="V9" s="30">
        <v>7.41</v>
      </c>
      <c r="W9" s="209">
        <v>8.8800000000000008</v>
      </c>
      <c r="X9" s="30">
        <v>4.16</v>
      </c>
      <c r="Y9" s="106">
        <v>6</v>
      </c>
      <c r="Z9" s="30">
        <v>4.6399999999999997</v>
      </c>
      <c r="AA9" s="209">
        <v>18</v>
      </c>
      <c r="AB9" s="30">
        <v>10.17</v>
      </c>
      <c r="AC9" s="106">
        <v>78</v>
      </c>
      <c r="AD9" s="30">
        <v>17.2</v>
      </c>
      <c r="AE9" s="209">
        <v>13.42</v>
      </c>
      <c r="AF9" s="30">
        <v>42.36</v>
      </c>
      <c r="AG9" s="106">
        <v>24.14</v>
      </c>
      <c r="AH9" s="30">
        <v>37.65</v>
      </c>
      <c r="AI9" s="209">
        <v>46.26</v>
      </c>
      <c r="AJ9" s="30">
        <v>10.7</v>
      </c>
      <c r="AK9" s="106">
        <v>16.7</v>
      </c>
      <c r="AL9" s="30">
        <v>9.27</v>
      </c>
      <c r="AM9" s="209">
        <v>26</v>
      </c>
      <c r="AN9" s="235">
        <v>41.5</v>
      </c>
      <c r="AO9" s="106">
        <v>52.5</v>
      </c>
      <c r="AP9" s="30">
        <v>12</v>
      </c>
      <c r="AQ9" s="209">
        <v>66.5</v>
      </c>
      <c r="AR9" s="52">
        <v>10.8</v>
      </c>
      <c r="AS9" s="97">
        <v>11.17</v>
      </c>
      <c r="AT9" s="52">
        <v>8.69</v>
      </c>
      <c r="AU9" s="98">
        <v>31.5</v>
      </c>
      <c r="AV9" s="104">
        <v>56.67</v>
      </c>
      <c r="AW9" s="97">
        <v>29.83</v>
      </c>
      <c r="AX9" s="52">
        <v>18.29</v>
      </c>
      <c r="AY9" s="98">
        <v>41</v>
      </c>
      <c r="AZ9" s="104">
        <v>14</v>
      </c>
      <c r="BA9" s="106">
        <v>24.33</v>
      </c>
      <c r="BB9" s="52">
        <v>14.4</v>
      </c>
      <c r="BC9" s="97">
        <v>27.33</v>
      </c>
    </row>
    <row r="10" spans="1:55" ht="27.9" customHeight="1">
      <c r="A10" s="264" t="s">
        <v>80</v>
      </c>
      <c r="B10" s="30">
        <v>3.39</v>
      </c>
      <c r="C10" s="203">
        <v>2.15</v>
      </c>
      <c r="D10" s="30">
        <v>1.89</v>
      </c>
      <c r="E10" s="203">
        <v>2.89</v>
      </c>
      <c r="F10" s="30">
        <v>2.19</v>
      </c>
      <c r="G10" s="203">
        <v>2.0299999999999998</v>
      </c>
      <c r="H10" s="30">
        <v>1.95</v>
      </c>
      <c r="I10" s="203">
        <v>2.0699999999999998</v>
      </c>
      <c r="J10" s="30">
        <v>2.27</v>
      </c>
      <c r="K10" s="203">
        <v>2.25</v>
      </c>
      <c r="L10" s="30">
        <v>2.67</v>
      </c>
      <c r="M10" s="97">
        <v>2.56</v>
      </c>
      <c r="N10" s="30">
        <v>2.35</v>
      </c>
      <c r="O10" s="203">
        <v>1.95</v>
      </c>
      <c r="P10" s="30">
        <v>2.09</v>
      </c>
      <c r="Q10" s="97">
        <v>2.39</v>
      </c>
      <c r="R10" s="30">
        <v>2.2599999999999998</v>
      </c>
      <c r="S10" s="203">
        <v>1.77</v>
      </c>
      <c r="T10" s="30">
        <v>1.74</v>
      </c>
      <c r="U10" s="97">
        <v>1.96</v>
      </c>
      <c r="V10" s="30">
        <v>1.71</v>
      </c>
      <c r="W10" s="203">
        <v>1.42</v>
      </c>
      <c r="X10" s="30">
        <v>1.32</v>
      </c>
      <c r="Y10" s="97">
        <v>1.45</v>
      </c>
      <c r="Z10" s="30">
        <v>1.41</v>
      </c>
      <c r="AA10" s="203">
        <v>1.24</v>
      </c>
      <c r="AB10" s="30">
        <v>1.2</v>
      </c>
      <c r="AC10" s="97">
        <v>1.1499999999999999</v>
      </c>
      <c r="AD10" s="30">
        <v>1.1399999999999999</v>
      </c>
      <c r="AE10" s="203">
        <v>1.17</v>
      </c>
      <c r="AF10" s="30">
        <v>1.1200000000000001</v>
      </c>
      <c r="AG10" s="97">
        <v>1.18</v>
      </c>
      <c r="AH10" s="30">
        <v>1.19</v>
      </c>
      <c r="AI10" s="203">
        <v>1.19</v>
      </c>
      <c r="AJ10" s="30">
        <v>1.23</v>
      </c>
      <c r="AK10" s="97">
        <v>1.19</v>
      </c>
      <c r="AL10" s="30">
        <v>1.25</v>
      </c>
      <c r="AM10" s="203">
        <v>1.1599999999999999</v>
      </c>
      <c r="AN10" s="235">
        <v>1.22</v>
      </c>
      <c r="AO10" s="97">
        <v>1.39</v>
      </c>
      <c r="AP10" s="30">
        <v>1.49</v>
      </c>
      <c r="AQ10" s="203">
        <v>1.36</v>
      </c>
      <c r="AR10" s="52">
        <v>1.46</v>
      </c>
      <c r="AS10" s="97">
        <v>1.44</v>
      </c>
      <c r="AT10" s="52">
        <v>1.43</v>
      </c>
      <c r="AU10" s="98">
        <v>1.43</v>
      </c>
      <c r="AV10" s="104">
        <v>1.56</v>
      </c>
      <c r="AW10" s="97">
        <v>1.36</v>
      </c>
      <c r="AX10" s="52">
        <v>1.32</v>
      </c>
      <c r="AY10" s="98">
        <v>1.24</v>
      </c>
      <c r="AZ10" s="104">
        <v>1.24</v>
      </c>
      <c r="BA10" s="97">
        <v>1.34</v>
      </c>
      <c r="BB10" s="52">
        <v>1.3</v>
      </c>
      <c r="BC10" s="97">
        <v>1.29</v>
      </c>
    </row>
    <row r="11" spans="1:55" ht="27.9" customHeight="1">
      <c r="A11" s="264" t="s">
        <v>81</v>
      </c>
      <c r="B11" s="30">
        <v>2.5299999999999998</v>
      </c>
      <c r="C11" s="203">
        <v>1.54</v>
      </c>
      <c r="D11" s="30">
        <v>1.46</v>
      </c>
      <c r="E11" s="203">
        <v>1.9</v>
      </c>
      <c r="F11" s="30">
        <v>1.41</v>
      </c>
      <c r="G11" s="203">
        <v>1.33</v>
      </c>
      <c r="H11" s="30">
        <v>1.3</v>
      </c>
      <c r="I11" s="203">
        <v>1.07</v>
      </c>
      <c r="J11" s="30">
        <v>1.33</v>
      </c>
      <c r="K11" s="203">
        <v>1.31</v>
      </c>
      <c r="L11" s="30">
        <v>1.33</v>
      </c>
      <c r="M11" s="106">
        <v>1.31</v>
      </c>
      <c r="N11" s="30">
        <v>1.37</v>
      </c>
      <c r="O11" s="203">
        <v>1.1399999999999999</v>
      </c>
      <c r="P11" s="30">
        <v>1.1299999999999999</v>
      </c>
      <c r="Q11" s="106">
        <v>1.33</v>
      </c>
      <c r="R11" s="30">
        <v>1.35</v>
      </c>
      <c r="S11" s="203">
        <v>1.1299999999999999</v>
      </c>
      <c r="T11" s="30">
        <v>1.03</v>
      </c>
      <c r="U11" s="106">
        <v>1.17</v>
      </c>
      <c r="V11" s="30">
        <v>1.0900000000000001</v>
      </c>
      <c r="W11" s="203">
        <v>0.89</v>
      </c>
      <c r="X11" s="30">
        <v>0.79</v>
      </c>
      <c r="Y11" s="106">
        <v>0.88</v>
      </c>
      <c r="Z11" s="30">
        <v>0.96</v>
      </c>
      <c r="AA11" s="203">
        <v>0.77</v>
      </c>
      <c r="AB11" s="30">
        <v>0.7</v>
      </c>
      <c r="AC11" s="106">
        <v>0.66</v>
      </c>
      <c r="AD11" s="30">
        <v>0.67</v>
      </c>
      <c r="AE11" s="203">
        <v>0.65</v>
      </c>
      <c r="AF11" s="30">
        <v>0.51</v>
      </c>
      <c r="AG11" s="106">
        <v>0.61</v>
      </c>
      <c r="AH11" s="30">
        <v>0.63</v>
      </c>
      <c r="AI11" s="203">
        <v>0.67</v>
      </c>
      <c r="AJ11" s="30">
        <v>0.62</v>
      </c>
      <c r="AK11" s="106">
        <v>0.6</v>
      </c>
      <c r="AL11" s="30">
        <v>0.73</v>
      </c>
      <c r="AM11" s="203">
        <v>0.65</v>
      </c>
      <c r="AN11" s="235">
        <v>0.56000000000000005</v>
      </c>
      <c r="AO11" s="97">
        <v>0.72</v>
      </c>
      <c r="AP11" s="30">
        <v>0.83</v>
      </c>
      <c r="AQ11" s="203">
        <v>0.73</v>
      </c>
      <c r="AR11" s="52">
        <v>0.74</v>
      </c>
      <c r="AS11" s="97">
        <v>0.71</v>
      </c>
      <c r="AT11" s="52">
        <v>0.8</v>
      </c>
      <c r="AU11" s="98">
        <v>0.78</v>
      </c>
      <c r="AV11" s="104">
        <v>0.67</v>
      </c>
      <c r="AW11" s="97">
        <v>0.6</v>
      </c>
      <c r="AX11" s="52">
        <v>0.69</v>
      </c>
      <c r="AY11" s="98">
        <v>0.64</v>
      </c>
      <c r="AZ11" s="104">
        <v>0.54</v>
      </c>
      <c r="BA11" s="97">
        <v>0.62</v>
      </c>
      <c r="BB11" s="52">
        <v>0.73</v>
      </c>
      <c r="BC11" s="97">
        <v>0.64</v>
      </c>
    </row>
    <row r="12" spans="1:55" ht="27.9" customHeight="1">
      <c r="A12" s="264" t="s">
        <v>159</v>
      </c>
      <c r="B12" s="204">
        <v>0.3523</v>
      </c>
      <c r="C12" s="205">
        <v>0.28270000000000001</v>
      </c>
      <c r="D12" s="204">
        <v>0.40160000000000001</v>
      </c>
      <c r="E12" s="205">
        <v>0.40210000000000001</v>
      </c>
      <c r="F12" s="204">
        <v>0.32750000000000001</v>
      </c>
      <c r="G12" s="205">
        <v>0.31669999999999998</v>
      </c>
      <c r="H12" s="204">
        <v>0.31059999999999999</v>
      </c>
      <c r="I12" s="205">
        <v>0.23949999999999999</v>
      </c>
      <c r="J12" s="204">
        <v>0.1958</v>
      </c>
      <c r="K12" s="205">
        <v>0.1537</v>
      </c>
      <c r="L12" s="204">
        <v>0.28070000000000001</v>
      </c>
      <c r="M12" s="136">
        <v>0.28349999999999997</v>
      </c>
      <c r="N12" s="204">
        <v>0.29360000000000003</v>
      </c>
      <c r="O12" s="205">
        <v>0.26640000000000003</v>
      </c>
      <c r="P12" s="204">
        <v>0.29630000000000001</v>
      </c>
      <c r="Q12" s="136">
        <v>0.31340000000000001</v>
      </c>
      <c r="R12" s="204">
        <v>0.31900000000000001</v>
      </c>
      <c r="S12" s="205">
        <v>0.29699999999999999</v>
      </c>
      <c r="T12" s="204">
        <v>0.33339999999999997</v>
      </c>
      <c r="U12" s="136">
        <v>0.35049999999999998</v>
      </c>
      <c r="V12" s="204">
        <v>0.36059999999999998</v>
      </c>
      <c r="W12" s="205">
        <v>0.31940000000000002</v>
      </c>
      <c r="X12" s="204">
        <v>0.25119999999999998</v>
      </c>
      <c r="Y12" s="136">
        <v>0.23280000000000001</v>
      </c>
      <c r="Z12" s="204">
        <v>0.23300000000000001</v>
      </c>
      <c r="AA12" s="205">
        <v>0.20180000000000001</v>
      </c>
      <c r="AB12" s="204">
        <v>0.1968</v>
      </c>
      <c r="AC12" s="136">
        <v>0.19570000000000001</v>
      </c>
      <c r="AD12" s="204">
        <v>0.21290000000000001</v>
      </c>
      <c r="AE12" s="205">
        <v>0.26140000000000002</v>
      </c>
      <c r="AF12" s="204">
        <v>0.2185</v>
      </c>
      <c r="AG12" s="136">
        <v>0.22839999999999999</v>
      </c>
      <c r="AH12" s="204">
        <v>0.21609999999999999</v>
      </c>
      <c r="AI12" s="205">
        <v>0.2276</v>
      </c>
      <c r="AJ12" s="204">
        <v>0.22639999999999999</v>
      </c>
      <c r="AK12" s="136">
        <v>0.1923</v>
      </c>
      <c r="AL12" s="204">
        <v>0.2175</v>
      </c>
      <c r="AM12" s="205">
        <v>0.19969999999999999</v>
      </c>
      <c r="AN12" s="238">
        <v>0.14760000000000001</v>
      </c>
      <c r="AO12" s="136">
        <v>0.1515</v>
      </c>
      <c r="AP12" s="204">
        <v>0.18640000000000001</v>
      </c>
      <c r="AQ12" s="205">
        <v>0.1762</v>
      </c>
      <c r="AR12" s="135">
        <v>0.21099999999999999</v>
      </c>
      <c r="AS12" s="136">
        <v>0.23119999999999999</v>
      </c>
      <c r="AT12" s="135">
        <v>0.2487</v>
      </c>
      <c r="AU12" s="137">
        <v>0.2041</v>
      </c>
      <c r="AV12" s="138">
        <v>0.19159999999999999</v>
      </c>
      <c r="AW12" s="136">
        <v>0.21640000000000001</v>
      </c>
      <c r="AX12" s="135">
        <v>0.23230000000000001</v>
      </c>
      <c r="AY12" s="137">
        <v>0.24629999999999999</v>
      </c>
      <c r="AZ12" s="138">
        <v>0.20799999999999999</v>
      </c>
      <c r="BA12" s="136">
        <v>0.20480000000000001</v>
      </c>
      <c r="BB12" s="135">
        <v>0.22009999999999999</v>
      </c>
      <c r="BC12" s="136">
        <v>0.2303</v>
      </c>
    </row>
    <row r="13" spans="1:55" ht="27.9" customHeight="1">
      <c r="A13" s="264" t="s">
        <v>160</v>
      </c>
      <c r="B13" s="204">
        <v>8.4699999999999998E-2</v>
      </c>
      <c r="C13" s="205">
        <v>1.61E-2</v>
      </c>
      <c r="D13" s="204">
        <v>0.1328</v>
      </c>
      <c r="E13" s="205">
        <v>0.12759999999999999</v>
      </c>
      <c r="F13" s="204">
        <v>5.1499999999999997E-2</v>
      </c>
      <c r="G13" s="205">
        <v>2.58E-2</v>
      </c>
      <c r="H13" s="204">
        <v>8.09E-2</v>
      </c>
      <c r="I13" s="205">
        <v>1.6299999999999999E-2</v>
      </c>
      <c r="J13" s="204">
        <v>8.2000000000000007E-3</v>
      </c>
      <c r="K13" s="205">
        <v>4.7000000000000002E-3</v>
      </c>
      <c r="L13" s="204">
        <v>4.8000000000000001E-2</v>
      </c>
      <c r="M13" s="136">
        <v>5.8200000000000002E-2</v>
      </c>
      <c r="N13" s="204">
        <v>5.21E-2</v>
      </c>
      <c r="O13" s="205">
        <v>2.4299999999999999E-2</v>
      </c>
      <c r="P13" s="204">
        <v>5.57E-2</v>
      </c>
      <c r="Q13" s="136">
        <v>5.3400000000000003E-2</v>
      </c>
      <c r="R13" s="204">
        <v>4.1200000000000001E-2</v>
      </c>
      <c r="S13" s="205">
        <v>2.0899999999999998E-2</v>
      </c>
      <c r="T13" s="204">
        <v>7.4300000000000005E-2</v>
      </c>
      <c r="U13" s="136">
        <v>7.4700000000000003E-2</v>
      </c>
      <c r="V13" s="204">
        <v>6.1499999999999999E-2</v>
      </c>
      <c r="W13" s="205">
        <v>2.81E-2</v>
      </c>
      <c r="X13" s="204">
        <v>4.7899999999999998E-2</v>
      </c>
      <c r="Y13" s="136">
        <v>3.9800000000000002E-2</v>
      </c>
      <c r="Z13" s="204">
        <v>3.7900000000000003E-2</v>
      </c>
      <c r="AA13" s="205">
        <v>9.5999999999999992E-3</v>
      </c>
      <c r="AB13" s="204">
        <v>1.66E-2</v>
      </c>
      <c r="AC13" s="136">
        <v>4.7000000000000002E-3</v>
      </c>
      <c r="AD13" s="204">
        <v>1.23E-2</v>
      </c>
      <c r="AE13" s="205">
        <v>1.52E-2</v>
      </c>
      <c r="AF13" s="204">
        <v>6.1000000000000004E-3</v>
      </c>
      <c r="AG13" s="136">
        <v>1.14E-2</v>
      </c>
      <c r="AH13" s="204">
        <v>9.4000000000000004E-3</v>
      </c>
      <c r="AI13" s="205">
        <v>8.2000000000000007E-3</v>
      </c>
      <c r="AJ13" s="204">
        <v>3.1E-2</v>
      </c>
      <c r="AK13" s="136">
        <v>1.7999999999999999E-2</v>
      </c>
      <c r="AL13" s="204">
        <v>2.5600000000000001E-2</v>
      </c>
      <c r="AM13" s="205">
        <v>1.06E-2</v>
      </c>
      <c r="AN13" s="238">
        <v>6.1999999999999998E-3</v>
      </c>
      <c r="AO13" s="136">
        <v>6.7999999999999996E-3</v>
      </c>
      <c r="AP13" s="204">
        <v>2.58E-2</v>
      </c>
      <c r="AQ13" s="205">
        <v>6.4000000000000003E-3</v>
      </c>
      <c r="AR13" s="135">
        <v>3.0800000000000001E-2</v>
      </c>
      <c r="AS13" s="136">
        <v>3.7600000000000001E-2</v>
      </c>
      <c r="AT13" s="135">
        <v>4.0300000000000002E-2</v>
      </c>
      <c r="AU13" s="137">
        <v>1.38E-2</v>
      </c>
      <c r="AV13" s="138">
        <v>8.8999999999999999E-3</v>
      </c>
      <c r="AW13" s="136">
        <v>2.3E-2</v>
      </c>
      <c r="AX13" s="135">
        <v>2.69E-2</v>
      </c>
      <c r="AY13" s="137">
        <v>1.06E-2</v>
      </c>
      <c r="AZ13" s="138">
        <v>1.9300000000000001E-2</v>
      </c>
      <c r="BA13" s="136">
        <v>1.23E-2</v>
      </c>
      <c r="BB13" s="135">
        <v>1.6500000000000001E-2</v>
      </c>
      <c r="BC13" s="136">
        <v>9.4000000000000004E-3</v>
      </c>
    </row>
    <row r="14" spans="1:55" ht="27.9" customHeight="1">
      <c r="A14" s="264" t="s">
        <v>161</v>
      </c>
      <c r="B14" s="204">
        <v>0.1094</v>
      </c>
      <c r="C14" s="205">
        <v>2.4299999999999999E-2</v>
      </c>
      <c r="D14" s="204">
        <v>0.2172</v>
      </c>
      <c r="E14" s="205">
        <v>0.17050000000000001</v>
      </c>
      <c r="F14" s="204">
        <v>7.6200000000000004E-2</v>
      </c>
      <c r="G14" s="205">
        <v>3.9300000000000002E-2</v>
      </c>
      <c r="H14" s="204">
        <v>0.125</v>
      </c>
      <c r="I14" s="205">
        <v>2.3599999999999999E-2</v>
      </c>
      <c r="J14" s="204">
        <v>1.15E-2</v>
      </c>
      <c r="K14" s="205">
        <v>6.7000000000000002E-3</v>
      </c>
      <c r="L14" s="204">
        <v>6.4299999999999996E-2</v>
      </c>
      <c r="M14" s="136">
        <v>7.9399999999999998E-2</v>
      </c>
      <c r="N14" s="204">
        <v>7.3400000000000007E-2</v>
      </c>
      <c r="O14" s="205">
        <v>3.6999999999999998E-2</v>
      </c>
      <c r="P14" s="204">
        <v>8.1600000000000006E-2</v>
      </c>
      <c r="Q14" s="136">
        <v>7.4899999999999994E-2</v>
      </c>
      <c r="R14" s="204">
        <v>5.8599999999999999E-2</v>
      </c>
      <c r="S14" s="205">
        <v>3.2500000000000001E-2</v>
      </c>
      <c r="T14" s="204">
        <v>0.1147</v>
      </c>
      <c r="U14" s="136">
        <v>0.1089</v>
      </c>
      <c r="V14" s="204">
        <v>9.6799999999999997E-2</v>
      </c>
      <c r="W14" s="205">
        <v>4.87E-2</v>
      </c>
      <c r="X14" s="204">
        <v>8.4599999999999995E-2</v>
      </c>
      <c r="Y14" s="136">
        <v>6.7000000000000004E-2</v>
      </c>
      <c r="Z14" s="204">
        <v>6.6299999999999998E-2</v>
      </c>
      <c r="AA14" s="205">
        <v>1.77E-2</v>
      </c>
      <c r="AB14" s="204">
        <v>3.0200000000000001E-2</v>
      </c>
      <c r="AC14" s="136">
        <v>8.6999999999999994E-3</v>
      </c>
      <c r="AD14" s="204">
        <v>2.3199999999999998E-2</v>
      </c>
      <c r="AE14" s="205">
        <v>2.87E-2</v>
      </c>
      <c r="AF14" s="204">
        <v>1.0999999999999999E-2</v>
      </c>
      <c r="AG14" s="136">
        <v>2.0199999999999999E-2</v>
      </c>
      <c r="AH14" s="204">
        <v>1.67E-2</v>
      </c>
      <c r="AI14" s="205">
        <v>1.4800000000000001E-2</v>
      </c>
      <c r="AJ14" s="204">
        <v>5.3100000000000001E-2</v>
      </c>
      <c r="AK14" s="136">
        <v>3.2500000000000001E-2</v>
      </c>
      <c r="AL14" s="204">
        <v>4.6800000000000001E-2</v>
      </c>
      <c r="AM14" s="205">
        <v>2.0299999999999999E-2</v>
      </c>
      <c r="AN14" s="238">
        <v>1.0999999999999999E-2</v>
      </c>
      <c r="AO14" s="136">
        <v>1.2E-2</v>
      </c>
      <c r="AP14" s="204">
        <v>4.5100000000000001E-2</v>
      </c>
      <c r="AQ14" s="205">
        <v>1.2E-2</v>
      </c>
      <c r="AR14" s="135">
        <v>5.4100000000000002E-2</v>
      </c>
      <c r="AS14" s="136">
        <v>6.5100000000000005E-2</v>
      </c>
      <c r="AT14" s="135">
        <v>7.0699999999999999E-2</v>
      </c>
      <c r="AU14" s="137">
        <v>2.53E-2</v>
      </c>
      <c r="AV14" s="138">
        <v>1.4800000000000001E-2</v>
      </c>
      <c r="AW14" s="136">
        <v>3.5900000000000001E-2</v>
      </c>
      <c r="AX14" s="135">
        <v>4.3499999999999997E-2</v>
      </c>
      <c r="AY14" s="137">
        <v>1.8800000000000001E-2</v>
      </c>
      <c r="AZ14" s="138">
        <v>3.15E-2</v>
      </c>
      <c r="BA14" s="136">
        <v>1.9699999999999999E-2</v>
      </c>
      <c r="BB14" s="135">
        <v>2.7799999999999998E-2</v>
      </c>
      <c r="BC14" s="136">
        <v>1.6199999999999999E-2</v>
      </c>
    </row>
    <row r="15" spans="1:55" ht="27.9" customHeight="1">
      <c r="A15" s="264" t="s">
        <v>164</v>
      </c>
      <c r="B15" s="204">
        <v>0.22539999999999999</v>
      </c>
      <c r="C15" s="205">
        <v>0.34010000000000001</v>
      </c>
      <c r="D15" s="204">
        <v>0.38850000000000001</v>
      </c>
      <c r="E15" s="205">
        <v>0.25180000000000002</v>
      </c>
      <c r="F15" s="204">
        <v>0.3246</v>
      </c>
      <c r="G15" s="205">
        <v>0.34300000000000003</v>
      </c>
      <c r="H15" s="204">
        <v>0.35220000000000001</v>
      </c>
      <c r="I15" s="205">
        <v>0.30740000000000001</v>
      </c>
      <c r="J15" s="204">
        <v>0.28749999999999998</v>
      </c>
      <c r="K15" s="205">
        <v>0.29339999999999999</v>
      </c>
      <c r="L15" s="204">
        <v>0.25330000000000003</v>
      </c>
      <c r="M15" s="136">
        <v>0.26700000000000002</v>
      </c>
      <c r="N15" s="204">
        <v>0.29070000000000001</v>
      </c>
      <c r="O15" s="205">
        <v>0.34410000000000002</v>
      </c>
      <c r="P15" s="204">
        <v>0.3175</v>
      </c>
      <c r="Q15" s="136">
        <v>0.28699999999999998</v>
      </c>
      <c r="R15" s="204">
        <v>0.2974</v>
      </c>
      <c r="S15" s="205">
        <v>0.35799999999999998</v>
      </c>
      <c r="T15" s="204">
        <v>0.3523</v>
      </c>
      <c r="U15" s="136">
        <v>0.31359999999999999</v>
      </c>
      <c r="V15" s="204">
        <v>0.3649</v>
      </c>
      <c r="W15" s="205">
        <v>0.42370000000000002</v>
      </c>
      <c r="X15" s="204">
        <v>0.43409999999999999</v>
      </c>
      <c r="Y15" s="136">
        <v>0.40510000000000002</v>
      </c>
      <c r="Z15" s="204">
        <v>0.42799999999999999</v>
      </c>
      <c r="AA15" s="205">
        <v>0.45619999999999999</v>
      </c>
      <c r="AB15" s="204">
        <v>0.45129999999999998</v>
      </c>
      <c r="AC15" s="136">
        <v>0.45639999999999997</v>
      </c>
      <c r="AD15" s="204">
        <v>0.46910000000000002</v>
      </c>
      <c r="AE15" s="205">
        <v>0.47</v>
      </c>
      <c r="AF15" s="204">
        <v>0.4446</v>
      </c>
      <c r="AG15" s="136">
        <v>0.43740000000000001</v>
      </c>
      <c r="AH15" s="204">
        <v>0.43940000000000001</v>
      </c>
      <c r="AI15" s="205">
        <v>0.44619999999999999</v>
      </c>
      <c r="AJ15" s="204">
        <v>0.41599999999999998</v>
      </c>
      <c r="AK15" s="136">
        <v>0.44500000000000001</v>
      </c>
      <c r="AL15" s="204">
        <v>0.45390000000000003</v>
      </c>
      <c r="AM15" s="205">
        <v>0.47860000000000003</v>
      </c>
      <c r="AN15" s="238">
        <v>0.43469999999999998</v>
      </c>
      <c r="AO15" s="136">
        <v>0.43359999999999999</v>
      </c>
      <c r="AP15" s="204">
        <v>0.42730000000000001</v>
      </c>
      <c r="AQ15" s="205">
        <v>0.46820000000000001</v>
      </c>
      <c r="AR15" s="135">
        <v>0.43049999999999999</v>
      </c>
      <c r="AS15" s="136">
        <v>0.42170000000000002</v>
      </c>
      <c r="AT15" s="135">
        <v>0.42949999999999999</v>
      </c>
      <c r="AU15" s="137">
        <v>0.4541</v>
      </c>
      <c r="AV15" s="138">
        <v>0.39839999999999998</v>
      </c>
      <c r="AW15" s="136">
        <v>0.35920000000000002</v>
      </c>
      <c r="AX15" s="135">
        <v>0.38090000000000002</v>
      </c>
      <c r="AY15" s="137">
        <v>0.43340000000000001</v>
      </c>
      <c r="AZ15" s="138">
        <v>0.38690000000000002</v>
      </c>
      <c r="BA15" s="136">
        <v>0.37619999999999998</v>
      </c>
      <c r="BB15" s="135">
        <v>0.40550000000000003</v>
      </c>
      <c r="BC15" s="136">
        <v>0.42070000000000002</v>
      </c>
    </row>
    <row r="16" spans="1:55" ht="27.9" customHeight="1">
      <c r="A16" s="264" t="s">
        <v>163</v>
      </c>
      <c r="B16" s="206">
        <v>1361446.2000000002</v>
      </c>
      <c r="C16" s="207">
        <v>1442592</v>
      </c>
      <c r="D16" s="206">
        <v>657882.06000000006</v>
      </c>
      <c r="E16" s="207">
        <v>562610.88</v>
      </c>
      <c r="F16" s="206">
        <v>615806.46</v>
      </c>
      <c r="G16" s="207">
        <v>604085.39999999991</v>
      </c>
      <c r="H16" s="206">
        <v>368462.04</v>
      </c>
      <c r="I16" s="207">
        <v>378680</v>
      </c>
      <c r="J16" s="206">
        <v>459525.66</v>
      </c>
      <c r="K16" s="207">
        <v>555999</v>
      </c>
      <c r="L16" s="206">
        <v>336605</v>
      </c>
      <c r="M16" s="207">
        <v>339610</v>
      </c>
      <c r="N16" s="206">
        <v>352383</v>
      </c>
      <c r="O16" s="207">
        <v>426767</v>
      </c>
      <c r="P16" s="206">
        <v>162892.68000000002</v>
      </c>
      <c r="Q16" s="23">
        <v>164696</v>
      </c>
      <c r="R16" s="206">
        <v>215186.63999999998</v>
      </c>
      <c r="S16" s="207">
        <v>223902</v>
      </c>
      <c r="T16" s="206">
        <v>207372.59999999998</v>
      </c>
      <c r="U16" s="132">
        <v>193848</v>
      </c>
      <c r="V16" s="206">
        <v>189340</v>
      </c>
      <c r="W16" s="207">
        <v>106692</v>
      </c>
      <c r="X16" s="206">
        <v>86323</v>
      </c>
      <c r="Y16" s="132">
        <v>91787</v>
      </c>
      <c r="Z16" s="206">
        <v>71026</v>
      </c>
      <c r="AA16" s="207">
        <v>78674</v>
      </c>
      <c r="AB16" s="206">
        <v>66655</v>
      </c>
      <c r="AC16" s="132">
        <v>85231</v>
      </c>
      <c r="AD16" s="206">
        <v>93972.2</v>
      </c>
      <c r="AE16" s="207">
        <v>84138</v>
      </c>
      <c r="AF16" s="206">
        <v>98343</v>
      </c>
      <c r="AG16" s="132">
        <v>104899</v>
      </c>
      <c r="AH16" s="206">
        <v>135495</v>
      </c>
      <c r="AI16" s="207">
        <v>146422</v>
      </c>
      <c r="AJ16" s="206">
        <v>116919</v>
      </c>
      <c r="AK16" s="132">
        <v>111455</v>
      </c>
      <c r="AL16" s="206">
        <v>90694</v>
      </c>
      <c r="AM16" s="207">
        <v>107085</v>
      </c>
      <c r="AN16" s="239">
        <v>90694</v>
      </c>
      <c r="AO16" s="132">
        <v>114734</v>
      </c>
      <c r="AP16" s="206">
        <v>118012</v>
      </c>
      <c r="AQ16" s="207">
        <v>145329.1</v>
      </c>
      <c r="AR16" s="131">
        <v>118011.6</v>
      </c>
      <c r="AS16" s="132">
        <v>146421.80000000002</v>
      </c>
      <c r="AT16" s="131">
        <v>123475.09999999999</v>
      </c>
      <c r="AU16" s="133">
        <v>137680.20000000001</v>
      </c>
      <c r="AV16" s="134">
        <v>185759</v>
      </c>
      <c r="AW16" s="132">
        <v>195593.30000000002</v>
      </c>
      <c r="AX16" s="131">
        <v>139865.60000000001</v>
      </c>
      <c r="AY16" s="133">
        <v>134402.1</v>
      </c>
      <c r="AZ16" s="134">
        <v>76489</v>
      </c>
      <c r="BA16" s="132">
        <v>79767.099999999991</v>
      </c>
      <c r="BB16" s="131">
        <v>78674.399999999994</v>
      </c>
      <c r="BC16" s="132">
        <v>89601.4</v>
      </c>
    </row>
    <row r="17" spans="4:27" ht="24" customHeight="1">
      <c r="L17" s="237"/>
      <c r="M17"/>
      <c r="O17" s="9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spans="4:27" s="20" customFormat="1" ht="21"/>
    <row r="19" spans="4:27" s="20" customFormat="1" ht="21"/>
    <row r="20" spans="4:27" s="20" customFormat="1" ht="21">
      <c r="D20" s="265"/>
      <c r="E20" s="265"/>
      <c r="H20" s="265"/>
      <c r="I20" s="265"/>
    </row>
    <row r="21" spans="4:27" s="20" customFormat="1" ht="21"/>
    <row r="22" spans="4:27" s="20" customFormat="1" ht="21"/>
    <row r="23" spans="4:27" s="20" customFormat="1" ht="21"/>
    <row r="24" spans="4:27" s="20" customFormat="1" ht="21"/>
    <row r="25" spans="4:27" s="20" customFormat="1" ht="21"/>
    <row r="26" spans="4:27" s="20" customFormat="1" ht="21"/>
  </sheetData>
  <pageMargins left="0.19685039370078741" right="0" top="0.19685039370078741" bottom="0.19685039370078741" header="0" footer="0"/>
  <pageSetup paperSize="9" scale="28" fitToHeight="0" orientation="landscape" horizontalDpi="4294967293" verticalDpi="4294967293" r:id="rId1"/>
  <headerFooter>
    <oddFooter>&amp;RREDWOOD PR
powered by PROFESCAPITAL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DY73"/>
  <sheetViews>
    <sheetView showGridLines="0" zoomScale="60" zoomScaleNormal="60" zoomScaleSheetLayoutView="40" zoomScalePageLayoutView="40" workbookViewId="0">
      <pane ySplit="1" topLeftCell="A36" activePane="bottomLeft" state="frozen"/>
      <selection activeCell="D50" sqref="D50"/>
      <selection pane="bottomLeft" activeCell="C50" sqref="C50"/>
    </sheetView>
  </sheetViews>
  <sheetFormatPr defaultRowHeight="14.4"/>
  <cols>
    <col min="1" max="1" width="55.44140625" bestFit="1" customWidth="1"/>
    <col min="2" max="21" width="19.109375" bestFit="1" customWidth="1"/>
    <col min="22" max="22" width="17.6640625" bestFit="1" customWidth="1"/>
    <col min="23" max="23" width="19.109375" bestFit="1" customWidth="1"/>
    <col min="24" max="24" width="17" bestFit="1" customWidth="1"/>
    <col min="25" max="25" width="19.109375" bestFit="1" customWidth="1"/>
    <col min="26" max="26" width="16.33203125" bestFit="1" customWidth="1"/>
    <col min="27" max="27" width="19.109375" bestFit="1" customWidth="1"/>
    <col min="28" max="28" width="17.6640625" bestFit="1" customWidth="1"/>
    <col min="29" max="29" width="19.109375" bestFit="1" customWidth="1"/>
    <col min="30" max="30" width="17.6640625" bestFit="1" customWidth="1"/>
    <col min="31" max="31" width="19.109375" bestFit="1" customWidth="1"/>
    <col min="32" max="32" width="17" bestFit="1" customWidth="1"/>
    <col min="33" max="33" width="19.109375" bestFit="1" customWidth="1"/>
    <col min="34" max="34" width="17" bestFit="1" customWidth="1"/>
    <col min="35" max="35" width="19.109375" bestFit="1" customWidth="1"/>
    <col min="36" max="36" width="17" bestFit="1" customWidth="1"/>
    <col min="37" max="37" width="19.109375" bestFit="1" customWidth="1"/>
    <col min="38" max="38" width="17.6640625" bestFit="1" customWidth="1"/>
    <col min="39" max="39" width="19.109375" bestFit="1" customWidth="1"/>
    <col min="40" max="40" width="16.33203125" bestFit="1" customWidth="1"/>
    <col min="41" max="41" width="19.109375" bestFit="1" customWidth="1"/>
    <col min="42" max="42" width="17" bestFit="1" customWidth="1"/>
    <col min="43" max="43" width="19.109375" bestFit="1" customWidth="1"/>
    <col min="44" max="44" width="17" bestFit="1" customWidth="1"/>
    <col min="45" max="45" width="19.109375" bestFit="1" customWidth="1"/>
    <col min="46" max="46" width="17.6640625" bestFit="1" customWidth="1"/>
    <col min="47" max="47" width="19.109375" bestFit="1" customWidth="1"/>
    <col min="48" max="48" width="17" bestFit="1" customWidth="1"/>
    <col min="49" max="49" width="19.109375" bestFit="1" customWidth="1"/>
    <col min="50" max="50" width="17.6640625" bestFit="1" customWidth="1"/>
    <col min="51" max="51" width="19.109375" bestFit="1" customWidth="1"/>
    <col min="52" max="52" width="16.33203125" bestFit="1" customWidth="1"/>
    <col min="53" max="53" width="19.109375" bestFit="1" customWidth="1"/>
    <col min="54" max="54" width="17.6640625" bestFit="1" customWidth="1"/>
    <col min="55" max="70" width="19.109375" bestFit="1" customWidth="1"/>
  </cols>
  <sheetData>
    <row r="1" spans="1:69" ht="50.1" customHeight="1">
      <c r="A1" s="526" t="s">
        <v>197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2"/>
      <c r="Q1" s="2"/>
      <c r="R1" s="2"/>
      <c r="S1" s="2"/>
      <c r="T1" s="2"/>
      <c r="U1" s="2"/>
      <c r="V1" s="2"/>
      <c r="W1" s="2"/>
      <c r="X1" s="2"/>
      <c r="Y1" s="2"/>
      <c r="Z1" s="463"/>
      <c r="AA1" s="463"/>
      <c r="AB1" s="463"/>
      <c r="AC1" s="463"/>
      <c r="AD1" s="462"/>
      <c r="AE1" s="462"/>
      <c r="AF1" s="462"/>
      <c r="AG1" s="462"/>
      <c r="AH1" s="462"/>
      <c r="AI1" s="462"/>
      <c r="AJ1" s="462"/>
      <c r="AK1" s="374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69" ht="27.9" customHeight="1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69" ht="35.1" customHeight="1">
      <c r="A3" s="525" t="s">
        <v>138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375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69" ht="27.9" customHeight="1">
      <c r="A4" s="430"/>
      <c r="B4" s="17">
        <v>2024</v>
      </c>
      <c r="C4" s="453" t="s">
        <v>113</v>
      </c>
      <c r="D4" s="24">
        <v>2023</v>
      </c>
      <c r="E4" s="456" t="s">
        <v>113</v>
      </c>
      <c r="F4" s="17">
        <v>2022</v>
      </c>
      <c r="G4" s="453" t="s">
        <v>113</v>
      </c>
      <c r="H4" s="24">
        <v>2021</v>
      </c>
      <c r="I4" s="456" t="s">
        <v>113</v>
      </c>
      <c r="J4" s="17">
        <v>2020</v>
      </c>
      <c r="K4" s="453" t="s">
        <v>113</v>
      </c>
      <c r="L4" s="24">
        <v>2019</v>
      </c>
      <c r="M4" s="456" t="s">
        <v>113</v>
      </c>
      <c r="N4" s="17">
        <v>2018</v>
      </c>
      <c r="O4" s="453" t="s">
        <v>113</v>
      </c>
      <c r="P4" s="24">
        <v>2017</v>
      </c>
      <c r="Q4" s="456" t="s">
        <v>113</v>
      </c>
      <c r="R4" s="17">
        <v>2016</v>
      </c>
      <c r="S4" s="453" t="s">
        <v>113</v>
      </c>
      <c r="T4" s="24">
        <v>2015</v>
      </c>
      <c r="U4" s="456" t="s">
        <v>113</v>
      </c>
      <c r="V4" s="17">
        <v>2014</v>
      </c>
      <c r="W4" s="395" t="s">
        <v>113</v>
      </c>
      <c r="X4" s="18">
        <v>2013</v>
      </c>
      <c r="Y4" s="459" t="s">
        <v>113</v>
      </c>
      <c r="Z4" s="378">
        <v>2012</v>
      </c>
      <c r="AC4" s="18"/>
      <c r="AE4" s="18"/>
      <c r="AF4" s="18"/>
      <c r="AG4" s="18"/>
      <c r="AH4" s="18"/>
      <c r="AI4" s="24"/>
      <c r="AJ4" s="168"/>
      <c r="AK4" s="416"/>
      <c r="AL4" s="416"/>
      <c r="AM4" s="416"/>
      <c r="AN4" s="168"/>
      <c r="AO4" s="168"/>
      <c r="AP4" s="168"/>
      <c r="AQ4" s="380"/>
      <c r="AR4" s="379"/>
      <c r="AS4" s="379"/>
      <c r="AT4" s="379"/>
      <c r="AU4" s="379"/>
      <c r="AV4" s="379"/>
      <c r="AW4" s="379"/>
      <c r="AX4" s="379"/>
      <c r="AY4" s="379"/>
      <c r="AZ4" s="379"/>
      <c r="BA4" s="379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80"/>
      <c r="BP4" s="1"/>
      <c r="BQ4" s="1"/>
    </row>
    <row r="5" spans="1:69" ht="27.9" customHeight="1">
      <c r="A5" s="431" t="s">
        <v>2</v>
      </c>
      <c r="B5" s="396">
        <v>252748978.49000001</v>
      </c>
      <c r="C5" s="454">
        <f t="shared" ref="C5:C12" si="0">(B5/D5)-1</f>
        <v>0.64011851134538933</v>
      </c>
      <c r="D5" s="381">
        <v>154104094.75999999</v>
      </c>
      <c r="E5" s="457">
        <f>(D5/F5)-1</f>
        <v>1.1898251899267449</v>
      </c>
      <c r="F5" s="396">
        <v>70372783.849999994</v>
      </c>
      <c r="G5" s="454">
        <f>(F5/H5)-1</f>
        <v>0.64439148714252958</v>
      </c>
      <c r="H5" s="381">
        <v>42795638.630000003</v>
      </c>
      <c r="I5" s="457">
        <f>(H5/J5)-1</f>
        <v>3.1711348296943331E-2</v>
      </c>
      <c r="J5" s="396">
        <v>41480244.159999996</v>
      </c>
      <c r="K5" s="454">
        <f>(J5/L5)-1</f>
        <v>-0.20465044116741105</v>
      </c>
      <c r="L5" s="381">
        <v>52153476.039999999</v>
      </c>
      <c r="M5" s="457">
        <f>(L5/N5)-1</f>
        <v>-1.1545300800552938E-2</v>
      </c>
      <c r="N5" s="396">
        <v>52762636.549999997</v>
      </c>
      <c r="O5" s="454">
        <f>(N5/P5)-1</f>
        <v>0.18967055583697845</v>
      </c>
      <c r="P5" s="381">
        <v>44350628.240000002</v>
      </c>
      <c r="Q5" s="457">
        <f>(P5/R5)-1</f>
        <v>-0.32402259863018534</v>
      </c>
      <c r="R5" s="396">
        <v>65609631.549999997</v>
      </c>
      <c r="S5" s="454">
        <f>(R5/T5)-1</f>
        <v>0.25495433855896055</v>
      </c>
      <c r="T5" s="381">
        <v>52280493.030000001</v>
      </c>
      <c r="U5" s="457">
        <f>(T5/V5)-1</f>
        <v>0.2711791504280463</v>
      </c>
      <c r="V5" s="383">
        <v>41127557.049999997</v>
      </c>
      <c r="W5" s="454">
        <f>(V5/X5)-1</f>
        <v>0.31937522470390145</v>
      </c>
      <c r="X5" s="385">
        <v>31171994.350000001</v>
      </c>
      <c r="Y5" s="460">
        <f>(X5/Z5)-1</f>
        <v>2.063360122850133E-3</v>
      </c>
      <c r="Z5" s="383">
        <v>31107807.739999998</v>
      </c>
      <c r="AC5" s="386"/>
      <c r="AE5" s="387"/>
      <c r="AF5" s="388"/>
      <c r="AG5" s="388"/>
      <c r="AH5" s="388"/>
      <c r="AI5" s="417"/>
      <c r="AJ5" s="418"/>
      <c r="AK5" s="416"/>
      <c r="AL5" s="416"/>
      <c r="AM5" s="416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27.9" customHeight="1">
      <c r="A6" s="432" t="s">
        <v>3</v>
      </c>
      <c r="B6" s="58">
        <v>75501414.159999996</v>
      </c>
      <c r="C6" s="455">
        <f t="shared" si="0"/>
        <v>0.3907768516562693</v>
      </c>
      <c r="D6" s="390">
        <v>54287223.770000003</v>
      </c>
      <c r="E6" s="458">
        <f t="shared" ref="E6:E11" si="1">(D6/F6)-1</f>
        <v>1.4474105077822186</v>
      </c>
      <c r="F6" s="58">
        <v>22181494.93</v>
      </c>
      <c r="G6" s="455">
        <f t="shared" ref="G6:G12" si="2">(F6/H6)-1</f>
        <v>1.1462855886312773</v>
      </c>
      <c r="H6" s="390">
        <v>10334829.18</v>
      </c>
      <c r="I6" s="458">
        <f t="shared" ref="I6:I12" si="3">(H6/J6)-1</f>
        <v>-0.27623708259064905</v>
      </c>
      <c r="J6" s="58">
        <v>14279301.869999999</v>
      </c>
      <c r="K6" s="455">
        <f t="shared" ref="K6:K12" si="4">(J6/L6)-1</f>
        <v>0.42182177052767655</v>
      </c>
      <c r="L6" s="390">
        <v>10042961.9</v>
      </c>
      <c r="M6" s="458">
        <f t="shared" ref="M6:M12" si="5">(L6/N6)-1</f>
        <v>0.12113143356870748</v>
      </c>
      <c r="N6" s="58">
        <v>8957880.9399999995</v>
      </c>
      <c r="O6" s="455">
        <f t="shared" ref="O6:O12" si="6">(N6/P6)-1</f>
        <v>9.2788394084597714E-2</v>
      </c>
      <c r="P6" s="390">
        <v>8197269.4699999988</v>
      </c>
      <c r="Q6" s="458">
        <f t="shared" ref="Q6:Q12" si="7">(P6/R6)-1</f>
        <v>-0.51796421765430811</v>
      </c>
      <c r="R6" s="58">
        <v>17005520.689999998</v>
      </c>
      <c r="S6" s="455">
        <f t="shared" ref="S6:S12" si="8">(R6/T6)-1</f>
        <v>0.52902778413142304</v>
      </c>
      <c r="T6" s="390">
        <v>11121786.58</v>
      </c>
      <c r="U6" s="458">
        <f t="shared" ref="U6:W19" si="9">(T6/V6)-1</f>
        <v>0.17199202826958926</v>
      </c>
      <c r="V6" s="23">
        <v>9489643.5399999954</v>
      </c>
      <c r="W6" s="455">
        <f t="shared" si="9"/>
        <v>1.5920118083929382</v>
      </c>
      <c r="X6" s="393">
        <v>3661111.2300000004</v>
      </c>
      <c r="Y6" s="461">
        <f t="shared" ref="Y6:Y19" si="10">(X6/Z6)-1</f>
        <v>-0.48876962506794053</v>
      </c>
      <c r="Z6" s="23">
        <v>7161372.6600000001</v>
      </c>
      <c r="AC6" s="386"/>
      <c r="AE6" s="387"/>
      <c r="AF6" s="287"/>
      <c r="AG6" s="388"/>
      <c r="AH6" s="388"/>
      <c r="AI6" s="417"/>
      <c r="AJ6" s="24"/>
      <c r="AK6" s="416"/>
      <c r="AL6" s="416"/>
      <c r="AM6" s="416"/>
      <c r="AN6" s="24"/>
      <c r="AO6" s="419"/>
      <c r="AP6" s="24"/>
      <c r="AQ6" s="377"/>
      <c r="AR6" s="18"/>
      <c r="AS6" s="377"/>
      <c r="AT6" s="18"/>
      <c r="AU6" s="377"/>
      <c r="AV6" s="18"/>
      <c r="AW6" s="377"/>
      <c r="AX6" s="18"/>
      <c r="AY6" s="377"/>
      <c r="AZ6" s="18"/>
      <c r="BA6" s="377"/>
      <c r="BB6" s="18"/>
      <c r="BC6" s="377"/>
      <c r="BD6" s="18"/>
      <c r="BE6" s="377"/>
      <c r="BF6" s="377"/>
      <c r="BG6" s="377"/>
      <c r="BH6" s="18"/>
      <c r="BI6" s="377"/>
      <c r="BJ6" s="18"/>
      <c r="BK6" s="377"/>
      <c r="BL6" s="18"/>
      <c r="BM6" s="377"/>
      <c r="BN6" s="18"/>
      <c r="BO6" s="377"/>
      <c r="BP6" s="1"/>
      <c r="BQ6" s="1"/>
    </row>
    <row r="7" spans="1:69" ht="27.9" customHeight="1">
      <c r="A7" s="432" t="s">
        <v>4</v>
      </c>
      <c r="B7" s="58">
        <v>49811111.959999993</v>
      </c>
      <c r="C7" s="455">
        <f t="shared" si="0"/>
        <v>0.47119005219998922</v>
      </c>
      <c r="D7" s="390">
        <v>33857700.359999999</v>
      </c>
      <c r="E7" s="458">
        <f t="shared" si="1"/>
        <v>8.5913010565736805</v>
      </c>
      <c r="F7" s="58">
        <v>3530042.5</v>
      </c>
      <c r="G7" s="455">
        <f t="shared" si="2"/>
        <v>-1.9584683243689929</v>
      </c>
      <c r="H7" s="390">
        <v>-3683003.82</v>
      </c>
      <c r="I7" s="458">
        <f t="shared" si="3"/>
        <v>-1.9076425766878935</v>
      </c>
      <c r="J7" s="58">
        <v>4057768.9</v>
      </c>
      <c r="K7" s="455">
        <f t="shared" si="4"/>
        <v>34.721397199927353</v>
      </c>
      <c r="L7" s="390">
        <v>113594.91</v>
      </c>
      <c r="M7" s="458">
        <f t="shared" si="5"/>
        <v>-0.81350248343405906</v>
      </c>
      <c r="N7" s="58">
        <v>609096.1</v>
      </c>
      <c r="O7" s="455">
        <f t="shared" si="6"/>
        <v>-1.3081182905813558</v>
      </c>
      <c r="P7" s="390">
        <v>-1976825.5200000005</v>
      </c>
      <c r="Q7" s="458">
        <f t="shared" si="7"/>
        <v>-1.2728019327375499</v>
      </c>
      <c r="R7" s="58">
        <v>7246376.5199999977</v>
      </c>
      <c r="S7" s="455">
        <f t="shared" si="8"/>
        <v>1.1556996544113449</v>
      </c>
      <c r="T7" s="390">
        <v>3361496.35</v>
      </c>
      <c r="U7" s="458">
        <f t="shared" si="9"/>
        <v>0.54220523209624738</v>
      </c>
      <c r="V7" s="23">
        <v>2179668.6199999955</v>
      </c>
      <c r="W7" s="455">
        <f t="shared" si="9"/>
        <v>-1.7956984935739846</v>
      </c>
      <c r="X7" s="393">
        <v>-2739314.7499999995</v>
      </c>
      <c r="Y7" s="461">
        <f t="shared" si="10"/>
        <v>-2.8974701863689019</v>
      </c>
      <c r="Z7" s="23">
        <v>1443666.8199999998</v>
      </c>
      <c r="AC7" s="386"/>
      <c r="AE7" s="387"/>
      <c r="AF7" s="388"/>
      <c r="AG7" s="388"/>
      <c r="AH7" s="388"/>
      <c r="AI7" s="417"/>
      <c r="AJ7" s="417"/>
      <c r="AK7" s="416"/>
      <c r="AL7" s="416"/>
      <c r="AM7" s="416"/>
      <c r="AN7" s="417"/>
      <c r="AO7" s="420"/>
      <c r="AP7" s="417"/>
      <c r="AQ7" s="394"/>
      <c r="AR7" s="387"/>
      <c r="AS7" s="394"/>
      <c r="AT7" s="388"/>
      <c r="AU7" s="394"/>
      <c r="AV7" s="388"/>
      <c r="AW7" s="394"/>
      <c r="AX7" s="388"/>
      <c r="AY7" s="394"/>
      <c r="AZ7" s="388"/>
      <c r="BA7" s="394"/>
      <c r="BB7" s="388"/>
      <c r="BC7" s="394"/>
      <c r="BD7" s="388"/>
      <c r="BE7" s="394"/>
      <c r="BF7" s="388"/>
      <c r="BG7" s="394"/>
      <c r="BH7" s="388"/>
      <c r="BI7" s="394"/>
      <c r="BJ7" s="388"/>
      <c r="BK7" s="394"/>
      <c r="BL7" s="388"/>
      <c r="BM7" s="394"/>
      <c r="BN7" s="388"/>
      <c r="BO7" s="394"/>
      <c r="BP7" s="1"/>
      <c r="BQ7" s="1"/>
    </row>
    <row r="8" spans="1:69" ht="27.9" customHeight="1">
      <c r="A8" s="432" t="s">
        <v>135</v>
      </c>
      <c r="B8" s="58">
        <v>45499606.50999999</v>
      </c>
      <c r="C8" s="455">
        <f t="shared" si="0"/>
        <v>0.57842557345990087</v>
      </c>
      <c r="D8" s="390">
        <v>28825943.57</v>
      </c>
      <c r="E8" s="458">
        <f t="shared" si="1"/>
        <v>12.988431152690231</v>
      </c>
      <c r="F8" s="58">
        <v>2060698.82</v>
      </c>
      <c r="G8" s="455">
        <f t="shared" si="2"/>
        <v>-1.7056520028601403</v>
      </c>
      <c r="H8" s="390">
        <v>-2920276.3</v>
      </c>
      <c r="I8" s="458">
        <f t="shared" si="3"/>
        <v>-1.6208399170596379</v>
      </c>
      <c r="J8" s="58">
        <v>4703750.87</v>
      </c>
      <c r="K8" s="455">
        <f t="shared" si="4"/>
        <v>17.484462110406263</v>
      </c>
      <c r="L8" s="390">
        <v>254470.53</v>
      </c>
      <c r="M8" s="458">
        <f t="shared" si="5"/>
        <v>-0.88616078714102275</v>
      </c>
      <c r="N8" s="58">
        <v>2235350.4</v>
      </c>
      <c r="O8" s="455">
        <f t="shared" si="6"/>
        <v>-1.6188267999397912</v>
      </c>
      <c r="P8" s="390">
        <v>-3612239.1600000006</v>
      </c>
      <c r="Q8" s="458">
        <f t="shared" si="7"/>
        <v>-1.7293372582244282</v>
      </c>
      <c r="R8" s="58">
        <v>4952769.2699999977</v>
      </c>
      <c r="S8" s="455">
        <f t="shared" si="8"/>
        <v>0.27627036717553199</v>
      </c>
      <c r="T8" s="390">
        <v>3880658.36</v>
      </c>
      <c r="U8" s="458">
        <f t="shared" si="9"/>
        <v>0.25505313237628124</v>
      </c>
      <c r="V8" s="23">
        <v>3092027.1499999953</v>
      </c>
      <c r="W8" s="455">
        <f t="shared" si="9"/>
        <v>-2.117007292797823</v>
      </c>
      <c r="X8" s="393">
        <v>-2768135.1499999994</v>
      </c>
      <c r="Y8" s="461">
        <f t="shared" si="10"/>
        <v>-2.236504793176417</v>
      </c>
      <c r="Z8" s="23">
        <v>2238677.2499999995</v>
      </c>
      <c r="AC8" s="386"/>
      <c r="AE8" s="387"/>
      <c r="AF8" s="388"/>
      <c r="AG8" s="388"/>
      <c r="AH8" s="388"/>
      <c r="AI8" s="417"/>
      <c r="AJ8" s="417"/>
      <c r="AK8" s="324"/>
      <c r="AL8" s="324"/>
      <c r="AM8" s="324"/>
      <c r="AN8" s="417"/>
      <c r="AO8" s="420"/>
      <c r="AP8" s="417"/>
      <c r="AQ8" s="394"/>
      <c r="AR8" s="387"/>
      <c r="AS8" s="394"/>
      <c r="AT8" s="388"/>
      <c r="AU8" s="394"/>
      <c r="AV8" s="388"/>
      <c r="AW8" s="394"/>
      <c r="AX8" s="388"/>
      <c r="AY8" s="394"/>
      <c r="AZ8" s="388"/>
      <c r="BA8" s="394"/>
      <c r="BB8" s="388"/>
      <c r="BC8" s="394"/>
      <c r="BD8" s="388"/>
      <c r="BE8" s="394"/>
      <c r="BF8" s="388"/>
      <c r="BG8" s="394"/>
      <c r="BH8" s="388"/>
      <c r="BI8" s="394"/>
      <c r="BJ8" s="388"/>
      <c r="BK8" s="394"/>
      <c r="BL8" s="388"/>
      <c r="BM8" s="394"/>
      <c r="BN8" s="388"/>
      <c r="BO8" s="394"/>
      <c r="BP8" s="1"/>
      <c r="BQ8" s="1"/>
    </row>
    <row r="9" spans="1:69" ht="27.9" customHeight="1">
      <c r="A9" s="432" t="s">
        <v>5</v>
      </c>
      <c r="B9" s="58">
        <v>2619266.6800000002</v>
      </c>
      <c r="C9" s="455">
        <f t="shared" si="0"/>
        <v>1.2689348794382216E-2</v>
      </c>
      <c r="D9" s="390">
        <v>2586446.36</v>
      </c>
      <c r="E9" s="458">
        <f t="shared" si="1"/>
        <v>-4.4693383670658005E-2</v>
      </c>
      <c r="F9" s="58">
        <v>2707451.53</v>
      </c>
      <c r="G9" s="455">
        <f t="shared" si="2"/>
        <v>0.26166497957797308</v>
      </c>
      <c r="H9" s="390">
        <v>2145935.39</v>
      </c>
      <c r="I9" s="458">
        <f t="shared" si="3"/>
        <v>0.19738039763990667</v>
      </c>
      <c r="J9" s="58">
        <v>1792191.85</v>
      </c>
      <c r="K9" s="455">
        <f t="shared" si="4"/>
        <v>1.7290815431943773E-2</v>
      </c>
      <c r="L9" s="390">
        <v>1761730.1</v>
      </c>
      <c r="M9" s="458">
        <f t="shared" si="5"/>
        <v>-9.5609282985755661E-2</v>
      </c>
      <c r="N9" s="58">
        <v>1947974.55</v>
      </c>
      <c r="O9" s="455">
        <f t="shared" si="6"/>
        <v>9.3134276218483469E-2</v>
      </c>
      <c r="P9" s="390">
        <v>1782008.48</v>
      </c>
      <c r="Q9" s="458">
        <f t="shared" si="7"/>
        <v>0.10396354355544779</v>
      </c>
      <c r="R9" s="58">
        <v>1614191.42</v>
      </c>
      <c r="S9" s="455">
        <f t="shared" si="8"/>
        <v>0.14921459713912233</v>
      </c>
      <c r="T9" s="390">
        <v>1404604</v>
      </c>
      <c r="U9" s="458">
        <f t="shared" si="9"/>
        <v>7.503714152433294E-2</v>
      </c>
      <c r="V9" s="23">
        <v>1306563.2300000004</v>
      </c>
      <c r="W9" s="455">
        <f t="shared" si="9"/>
        <v>4.206157377042441E-4</v>
      </c>
      <c r="X9" s="393">
        <v>1306013.8999999999</v>
      </c>
      <c r="Y9" s="461">
        <f t="shared" si="10"/>
        <v>4.2756619690238473E-3</v>
      </c>
      <c r="Z9" s="23">
        <v>1300453.5999999999</v>
      </c>
      <c r="AC9" s="386"/>
      <c r="AE9" s="387"/>
      <c r="AF9" s="388"/>
      <c r="AG9" s="388"/>
      <c r="AH9" s="388"/>
      <c r="AI9" s="417"/>
      <c r="AJ9" s="417"/>
      <c r="AK9" s="417"/>
      <c r="AL9" s="417"/>
      <c r="AM9" s="420"/>
      <c r="AN9" s="417"/>
      <c r="AO9" s="420"/>
      <c r="AP9" s="417"/>
      <c r="AQ9" s="394"/>
      <c r="AR9" s="387"/>
      <c r="AS9" s="394"/>
      <c r="AT9" s="388"/>
      <c r="AU9" s="394"/>
      <c r="AV9" s="388"/>
      <c r="AW9" s="394"/>
      <c r="AX9" s="388"/>
      <c r="AY9" s="394"/>
      <c r="AZ9" s="388"/>
      <c r="BA9" s="394"/>
      <c r="BB9" s="388"/>
      <c r="BC9" s="394"/>
      <c r="BD9" s="388"/>
      <c r="BE9" s="394"/>
      <c r="BF9" s="388"/>
      <c r="BG9" s="394"/>
      <c r="BH9" s="388"/>
      <c r="BI9" s="394"/>
      <c r="BJ9" s="388"/>
      <c r="BK9" s="394"/>
      <c r="BL9" s="388"/>
      <c r="BM9" s="394"/>
      <c r="BN9" s="388"/>
      <c r="BO9" s="394"/>
      <c r="BP9" s="1"/>
      <c r="BQ9" s="1"/>
    </row>
    <row r="10" spans="1:69" ht="27.9" customHeight="1">
      <c r="A10" s="432" t="s">
        <v>1</v>
      </c>
      <c r="B10" s="23">
        <f>B8+B9</f>
        <v>48118873.18999999</v>
      </c>
      <c r="C10" s="455">
        <f t="shared" si="0"/>
        <v>0.53184375010080576</v>
      </c>
      <c r="D10" s="47">
        <f>D8+D9</f>
        <v>31412389.93</v>
      </c>
      <c r="E10" s="458">
        <f t="shared" si="1"/>
        <v>5.5879612898532027</v>
      </c>
      <c r="F10" s="23">
        <f>F8+F9</f>
        <v>4768150.3499999996</v>
      </c>
      <c r="G10" s="455">
        <f t="shared" si="2"/>
        <v>-7.1576888014350182</v>
      </c>
      <c r="H10" s="47">
        <f>H8+H9</f>
        <v>-774340.90999999968</v>
      </c>
      <c r="I10" s="458">
        <f t="shared" si="3"/>
        <v>-1.1192037774003032</v>
      </c>
      <c r="J10" s="23">
        <f>J8+J9</f>
        <v>6495942.7200000007</v>
      </c>
      <c r="K10" s="455">
        <f t="shared" si="4"/>
        <v>2.2218731724134022</v>
      </c>
      <c r="L10" s="47">
        <f>L8+L9</f>
        <v>2016200.6300000001</v>
      </c>
      <c r="M10" s="458">
        <f t="shared" si="5"/>
        <v>-0.5180387241971246</v>
      </c>
      <c r="N10" s="23">
        <f>N8+N9</f>
        <v>4183324.95</v>
      </c>
      <c r="O10" s="455">
        <f t="shared" si="6"/>
        <v>-3.2856817972256911</v>
      </c>
      <c r="P10" s="47">
        <f>P8+P9</f>
        <v>-1830230.6800000006</v>
      </c>
      <c r="Q10" s="458">
        <f t="shared" si="7"/>
        <v>-1.2787028530240832</v>
      </c>
      <c r="R10" s="23">
        <f>R8+R9</f>
        <v>6566960.6899999976</v>
      </c>
      <c r="S10" s="455">
        <f t="shared" si="8"/>
        <v>0.24250420181600951</v>
      </c>
      <c r="T10" s="47">
        <f>T8+T9</f>
        <v>5285262.3599999994</v>
      </c>
      <c r="U10" s="458">
        <f t="shared" si="9"/>
        <v>0.20158093920989417</v>
      </c>
      <c r="V10" s="23">
        <f>V8+V9</f>
        <v>4398590.3799999952</v>
      </c>
      <c r="W10" s="455">
        <f t="shared" si="9"/>
        <v>-4.008362254498385</v>
      </c>
      <c r="X10" s="393">
        <v>-1462121.2499999995</v>
      </c>
      <c r="Y10" s="461">
        <f t="shared" si="10"/>
        <v>-1.4131300344546458</v>
      </c>
      <c r="Z10" s="23">
        <v>3539130.8499999996</v>
      </c>
      <c r="AC10" s="386"/>
      <c r="AE10" s="387"/>
      <c r="AF10" s="388"/>
      <c r="AG10" s="388"/>
      <c r="AH10" s="388"/>
      <c r="AI10" s="417"/>
      <c r="AJ10" s="417"/>
      <c r="AK10" s="421"/>
      <c r="AL10" s="421"/>
      <c r="AM10" s="420"/>
      <c r="AN10" s="417"/>
      <c r="AO10" s="420"/>
      <c r="AP10" s="417"/>
      <c r="AQ10" s="394"/>
      <c r="AR10" s="387"/>
      <c r="AS10" s="394"/>
      <c r="AT10" s="388"/>
      <c r="AU10" s="394"/>
      <c r="AV10" s="388"/>
      <c r="AW10" s="394"/>
      <c r="AX10" s="388"/>
      <c r="AY10" s="394"/>
      <c r="AZ10" s="388"/>
      <c r="BA10" s="394"/>
      <c r="BB10" s="388"/>
      <c r="BC10" s="394"/>
      <c r="BD10" s="388"/>
      <c r="BE10" s="394"/>
      <c r="BF10" s="388"/>
      <c r="BG10" s="394"/>
      <c r="BH10" s="388"/>
      <c r="BI10" s="394"/>
      <c r="BJ10" s="388"/>
      <c r="BK10" s="394"/>
      <c r="BL10" s="388"/>
      <c r="BM10" s="394"/>
      <c r="BN10" s="388"/>
      <c r="BO10" s="394"/>
      <c r="BP10" s="1"/>
      <c r="BQ10" s="1"/>
    </row>
    <row r="11" spans="1:69" ht="27.9" customHeight="1">
      <c r="A11" s="432" t="s">
        <v>6</v>
      </c>
      <c r="B11" s="58">
        <v>42391878.239999987</v>
      </c>
      <c r="C11" s="455">
        <f t="shared" si="0"/>
        <v>1.0371723500809256</v>
      </c>
      <c r="D11" s="390">
        <v>20809176.129999995</v>
      </c>
      <c r="E11" s="458">
        <f t="shared" si="1"/>
        <v>55.767961332967765</v>
      </c>
      <c r="F11" s="58">
        <v>366565.5</v>
      </c>
      <c r="G11" s="455">
        <f t="shared" si="2"/>
        <v>-1.1116102800440646</v>
      </c>
      <c r="H11" s="390">
        <v>-3284334.56</v>
      </c>
      <c r="I11" s="458">
        <f t="shared" si="3"/>
        <v>-1.7095907615595203</v>
      </c>
      <c r="J11" s="58">
        <v>4628491.1500000004</v>
      </c>
      <c r="K11" s="455">
        <f t="shared" si="4"/>
        <v>-0.10279909751554617</v>
      </c>
      <c r="L11" s="390">
        <v>5158812.41</v>
      </c>
      <c r="M11" s="458">
        <f t="shared" si="5"/>
        <v>1.4027244793785791</v>
      </c>
      <c r="N11" s="58">
        <v>2147067.8199999998</v>
      </c>
      <c r="O11" s="455">
        <f t="shared" si="6"/>
        <v>-1.5554080041502125</v>
      </c>
      <c r="P11" s="390">
        <v>-3865748.7900000005</v>
      </c>
      <c r="Q11" s="458">
        <f t="shared" si="7"/>
        <v>-1.8172795088021241</v>
      </c>
      <c r="R11" s="58">
        <v>4730020.4499999974</v>
      </c>
      <c r="S11" s="455">
        <f t="shared" si="8"/>
        <v>0.21570163891036431</v>
      </c>
      <c r="T11" s="390">
        <v>3890774.1</v>
      </c>
      <c r="U11" s="458">
        <f t="shared" si="9"/>
        <v>0.14376344733162405</v>
      </c>
      <c r="V11" s="23">
        <v>3401729.7099999948</v>
      </c>
      <c r="W11" s="455">
        <f t="shared" si="9"/>
        <v>-1.963807001629942</v>
      </c>
      <c r="X11" s="393">
        <v>-3529471.88</v>
      </c>
      <c r="Y11" s="461">
        <f t="shared" si="10"/>
        <v>-4.5912810957231951</v>
      </c>
      <c r="Z11" s="23">
        <v>982789.08999999962</v>
      </c>
      <c r="AC11" s="386"/>
      <c r="AE11" s="387"/>
      <c r="AF11" s="388"/>
      <c r="AG11" s="388"/>
      <c r="AH11" s="388"/>
      <c r="AI11" s="417"/>
      <c r="AJ11" s="417"/>
      <c r="AK11" s="422"/>
      <c r="AL11" s="422"/>
      <c r="AM11" s="420"/>
      <c r="AN11" s="417"/>
      <c r="AO11" s="420"/>
      <c r="AP11" s="417"/>
      <c r="AQ11" s="394"/>
      <c r="AR11" s="387"/>
      <c r="AS11" s="394"/>
      <c r="AT11" s="388"/>
      <c r="AU11" s="394"/>
      <c r="AV11" s="388"/>
      <c r="AW11" s="394"/>
      <c r="AX11" s="388"/>
      <c r="AY11" s="394"/>
      <c r="AZ11" s="388"/>
      <c r="BA11" s="394"/>
      <c r="BB11" s="388"/>
      <c r="BC11" s="394"/>
      <c r="BD11" s="388"/>
      <c r="BE11" s="394"/>
      <c r="BF11" s="388"/>
      <c r="BG11" s="394"/>
      <c r="BH11" s="388"/>
      <c r="BI11" s="394"/>
      <c r="BJ11" s="388"/>
      <c r="BK11" s="394"/>
      <c r="BL11" s="388"/>
      <c r="BM11" s="394"/>
      <c r="BN11" s="388"/>
      <c r="BO11" s="394"/>
      <c r="BP11" s="1"/>
      <c r="BQ11" s="1"/>
    </row>
    <row r="12" spans="1:69" ht="27.9" customHeight="1">
      <c r="A12" s="432" t="s">
        <v>7</v>
      </c>
      <c r="B12" s="58">
        <v>35017675.239999987</v>
      </c>
      <c r="C12" s="455">
        <f t="shared" si="0"/>
        <v>1.0681399295948153</v>
      </c>
      <c r="D12" s="390">
        <v>16931966.129999995</v>
      </c>
      <c r="E12" s="458">
        <f>(D12/F12)-1</f>
        <v>393.15622720130352</v>
      </c>
      <c r="F12" s="58">
        <v>42957.5</v>
      </c>
      <c r="G12" s="455">
        <f t="shared" si="2"/>
        <v>-1.0160705721137888</v>
      </c>
      <c r="H12" s="390">
        <v>-2673053.56</v>
      </c>
      <c r="I12" s="458">
        <f t="shared" si="3"/>
        <v>-1.7594486524623636</v>
      </c>
      <c r="J12" s="58">
        <v>3519729.15</v>
      </c>
      <c r="K12" s="455">
        <f t="shared" si="4"/>
        <v>-9.9719438456613574E-2</v>
      </c>
      <c r="L12" s="390">
        <v>3909591.41</v>
      </c>
      <c r="M12" s="458">
        <f t="shared" si="5"/>
        <v>1.750547110040038</v>
      </c>
      <c r="N12" s="58">
        <v>1421386.82</v>
      </c>
      <c r="O12" s="455">
        <f t="shared" si="6"/>
        <v>-1.4690509948132886</v>
      </c>
      <c r="P12" s="390">
        <v>-3030346.0300000003</v>
      </c>
      <c r="Q12" s="458">
        <f t="shared" si="7"/>
        <v>-1.8654875567901392</v>
      </c>
      <c r="R12" s="58">
        <v>3501316.6927999975</v>
      </c>
      <c r="S12" s="455">
        <f t="shared" si="8"/>
        <v>0.18378489215367955</v>
      </c>
      <c r="T12" s="390">
        <v>2957730.51</v>
      </c>
      <c r="U12" s="458">
        <f t="shared" si="9"/>
        <v>0.13666633602470424</v>
      </c>
      <c r="V12" s="23">
        <v>2602109.7099999948</v>
      </c>
      <c r="W12" s="455">
        <f t="shared" si="9"/>
        <v>-1.6861915686761184</v>
      </c>
      <c r="X12" s="393">
        <v>-3792103.88</v>
      </c>
      <c r="Y12" s="461">
        <f t="shared" si="10"/>
        <v>-5.2702521718654207</v>
      </c>
      <c r="Z12" s="23">
        <v>888028.08999999962</v>
      </c>
      <c r="AC12" s="386"/>
      <c r="AE12" s="387"/>
      <c r="AF12" s="388"/>
      <c r="AG12" s="388"/>
      <c r="AH12" s="388"/>
      <c r="AI12" s="417"/>
      <c r="AJ12" s="417"/>
      <c r="AK12" s="422"/>
      <c r="AL12" s="422"/>
      <c r="AM12" s="420"/>
      <c r="AN12" s="417"/>
      <c r="AO12" s="420"/>
      <c r="AP12" s="417"/>
      <c r="AQ12" s="394"/>
      <c r="AR12" s="387"/>
      <c r="AS12" s="394"/>
      <c r="AT12" s="388"/>
      <c r="AU12" s="394"/>
      <c r="AV12" s="388"/>
      <c r="AW12" s="394"/>
      <c r="AX12" s="388"/>
      <c r="AY12" s="394"/>
      <c r="AZ12" s="388"/>
      <c r="BA12" s="394"/>
      <c r="BB12" s="388"/>
      <c r="BC12" s="394"/>
      <c r="BD12" s="388"/>
      <c r="BE12" s="394"/>
      <c r="BF12" s="388"/>
      <c r="BG12" s="394"/>
      <c r="BH12" s="388"/>
      <c r="BI12" s="394"/>
      <c r="BJ12" s="388"/>
      <c r="BK12" s="394"/>
      <c r="BL12" s="388"/>
      <c r="BM12" s="394"/>
      <c r="BN12" s="388"/>
      <c r="BO12" s="394"/>
      <c r="BP12" s="1"/>
      <c r="BQ12" s="1"/>
    </row>
    <row r="13" spans="1:69" ht="27.9" customHeight="1">
      <c r="A13" s="432"/>
      <c r="B13" s="58"/>
      <c r="C13" s="455"/>
      <c r="D13" s="390"/>
      <c r="E13" s="458"/>
      <c r="F13" s="58"/>
      <c r="G13" s="455"/>
      <c r="H13" s="390"/>
      <c r="I13" s="458"/>
      <c r="J13" s="58"/>
      <c r="K13" s="455"/>
      <c r="L13" s="390"/>
      <c r="M13" s="458"/>
      <c r="N13" s="58"/>
      <c r="O13" s="455"/>
      <c r="P13" s="390"/>
      <c r="Q13" s="458"/>
      <c r="R13" s="58"/>
      <c r="S13" s="455"/>
      <c r="T13" s="390"/>
      <c r="U13" s="458"/>
      <c r="V13" s="23"/>
      <c r="W13" s="455"/>
      <c r="X13" s="393"/>
      <c r="Y13" s="461"/>
      <c r="Z13" s="23"/>
      <c r="AC13" s="386"/>
      <c r="AE13" s="387"/>
      <c r="AF13" s="388"/>
      <c r="AG13" s="388"/>
      <c r="AH13" s="388"/>
      <c r="AI13" s="417"/>
      <c r="AJ13" s="417"/>
      <c r="AK13" s="422"/>
      <c r="AL13" s="422"/>
      <c r="AM13" s="420"/>
      <c r="AN13" s="417"/>
      <c r="AO13" s="420"/>
      <c r="AP13" s="417"/>
      <c r="AQ13" s="394"/>
      <c r="AR13" s="387"/>
      <c r="AS13" s="394"/>
      <c r="AT13" s="388"/>
      <c r="AU13" s="394"/>
      <c r="AV13" s="388"/>
      <c r="AW13" s="394"/>
      <c r="AX13" s="388"/>
      <c r="AY13" s="394"/>
      <c r="AZ13" s="388"/>
      <c r="BA13" s="394"/>
      <c r="BB13" s="388"/>
      <c r="BC13" s="394"/>
      <c r="BD13" s="388"/>
      <c r="BE13" s="394"/>
      <c r="BF13" s="388"/>
      <c r="BG13" s="394"/>
      <c r="BH13" s="388"/>
      <c r="BI13" s="394"/>
      <c r="BJ13" s="388"/>
      <c r="BK13" s="394"/>
      <c r="BL13" s="388"/>
      <c r="BM13" s="394"/>
      <c r="BN13" s="388"/>
      <c r="BO13" s="394"/>
      <c r="BP13" s="1"/>
      <c r="BQ13" s="1"/>
    </row>
    <row r="14" spans="1:69" ht="27.9" customHeight="1">
      <c r="A14" s="432" t="s">
        <v>8</v>
      </c>
      <c r="B14" s="58">
        <v>409847263.83000004</v>
      </c>
      <c r="C14" s="455">
        <f t="shared" ref="C14:C19" si="11">(B14/D14)-1</f>
        <v>0.40295552270201007</v>
      </c>
      <c r="D14" s="390">
        <v>292131330.75</v>
      </c>
      <c r="E14" s="458">
        <f>(D14/F14)-1</f>
        <v>0.31283803801183852</v>
      </c>
      <c r="F14" s="58">
        <v>222518941.63</v>
      </c>
      <c r="G14" s="455">
        <f t="shared" ref="G14:G19" si="12">(F14/H14)-1</f>
        <v>4.3771755389794276E-3</v>
      </c>
      <c r="H14" s="390">
        <v>221549181.97</v>
      </c>
      <c r="I14" s="458">
        <f t="shared" ref="I14:I19" si="13">(H14/J14)-1</f>
        <v>-1.2062943245087498E-2</v>
      </c>
      <c r="J14" s="58">
        <v>224254349.46000001</v>
      </c>
      <c r="K14" s="455">
        <f t="shared" ref="K14:K19" si="14">(J14/L14)-1</f>
        <v>5.8170418595621554E-2</v>
      </c>
      <c r="L14" s="390">
        <v>211926496.44999999</v>
      </c>
      <c r="M14" s="458">
        <f t="shared" ref="M14:M19" si="15">(L14/N14)-1</f>
        <v>-6.0900987040228838E-3</v>
      </c>
      <c r="N14" s="58">
        <v>213225058.09999999</v>
      </c>
      <c r="O14" s="455">
        <f t="shared" ref="O14:O19" si="16">(N14/P14)-1</f>
        <v>6.9165947991455035E-2</v>
      </c>
      <c r="P14" s="390">
        <v>199431209.44</v>
      </c>
      <c r="Q14" s="458">
        <f t="shared" ref="Q14:Q19" si="17">(P14/R14)-1</f>
        <v>4.9172856256829434E-5</v>
      </c>
      <c r="R14" s="58">
        <v>199421403.31999999</v>
      </c>
      <c r="S14" s="455">
        <f t="shared" ref="S14:S19" si="18">(R14/T14)-1</f>
        <v>3.7972997456359847E-2</v>
      </c>
      <c r="T14" s="390">
        <v>192125810.41</v>
      </c>
      <c r="U14" s="458">
        <f t="shared" si="9"/>
        <v>2.1277840018015803E-2</v>
      </c>
      <c r="V14" s="23">
        <v>188122960.15999997</v>
      </c>
      <c r="W14" s="455">
        <f t="shared" si="9"/>
        <v>2.1384771471358199E-2</v>
      </c>
      <c r="X14" s="393">
        <v>184184222.64999998</v>
      </c>
      <c r="Y14" s="461">
        <f t="shared" si="10"/>
        <v>-1.3864756394183941E-2</v>
      </c>
      <c r="Z14" s="23">
        <v>186773795.82999998</v>
      </c>
      <c r="AC14" s="386"/>
      <c r="AE14" s="387"/>
      <c r="AF14" s="388"/>
      <c r="AG14" s="388"/>
      <c r="AH14" s="388"/>
      <c r="AI14" s="417"/>
      <c r="AJ14" s="417"/>
      <c r="AK14" s="417"/>
      <c r="AL14" s="417"/>
      <c r="AM14" s="420"/>
      <c r="AN14" s="417"/>
      <c r="AO14" s="420"/>
      <c r="AP14" s="417"/>
      <c r="AQ14" s="394"/>
      <c r="AR14" s="387"/>
      <c r="AS14" s="394"/>
      <c r="AT14" s="388"/>
      <c r="AU14" s="394"/>
      <c r="AV14" s="388"/>
      <c r="AW14" s="394"/>
      <c r="AX14" s="388"/>
      <c r="AY14" s="394"/>
      <c r="AZ14" s="388"/>
      <c r="BA14" s="394"/>
      <c r="BB14" s="388"/>
      <c r="BC14" s="394"/>
      <c r="BD14" s="388"/>
      <c r="BE14" s="394"/>
      <c r="BF14" s="388"/>
      <c r="BG14" s="394"/>
      <c r="BH14" s="388"/>
      <c r="BI14" s="394"/>
      <c r="BJ14" s="388"/>
      <c r="BK14" s="394"/>
      <c r="BL14" s="388"/>
      <c r="BM14" s="394"/>
      <c r="BN14" s="388"/>
      <c r="BO14" s="394"/>
      <c r="BP14" s="1"/>
      <c r="BQ14" s="1"/>
    </row>
    <row r="15" spans="1:69" ht="27.9" customHeight="1">
      <c r="A15" s="433" t="s">
        <v>9</v>
      </c>
      <c r="B15" s="58">
        <v>183269537.97999999</v>
      </c>
      <c r="C15" s="455">
        <f t="shared" si="11"/>
        <v>1.5073816479189706E-3</v>
      </c>
      <c r="D15" s="390">
        <v>182993696.64000002</v>
      </c>
      <c r="E15" s="458">
        <f t="shared" ref="E15:E19" si="19">(D15/F15)-1</f>
        <v>-6.4431293117555022E-3</v>
      </c>
      <c r="F15" s="58">
        <v>184180394.74000001</v>
      </c>
      <c r="G15" s="455">
        <f t="shared" si="12"/>
        <v>-7.4559634519412166E-3</v>
      </c>
      <c r="H15" s="390">
        <v>185563952.78999999</v>
      </c>
      <c r="I15" s="458">
        <f t="shared" si="13"/>
        <v>-1.02557773778581E-2</v>
      </c>
      <c r="J15" s="58">
        <v>187486775.41999999</v>
      </c>
      <c r="K15" s="455">
        <f t="shared" si="14"/>
        <v>2.3848416243176018E-2</v>
      </c>
      <c r="L15" s="390">
        <v>183119661.50999999</v>
      </c>
      <c r="M15" s="458">
        <f t="shared" si="15"/>
        <v>1.7376508652000133E-2</v>
      </c>
      <c r="N15" s="58">
        <v>179992028.47</v>
      </c>
      <c r="O15" s="455">
        <f t="shared" si="16"/>
        <v>3.164153273045045E-2</v>
      </c>
      <c r="P15" s="390">
        <v>174471483.31999999</v>
      </c>
      <c r="Q15" s="458">
        <f t="shared" si="17"/>
        <v>4.1267481637230041E-2</v>
      </c>
      <c r="R15" s="58">
        <v>167556834.72</v>
      </c>
      <c r="S15" s="455">
        <f t="shared" si="18"/>
        <v>7.5234394809153837E-3</v>
      </c>
      <c r="T15" s="390">
        <v>166305644.27000001</v>
      </c>
      <c r="U15" s="458">
        <f t="shared" si="9"/>
        <v>5.7907598538164962E-4</v>
      </c>
      <c r="V15" s="23">
        <v>166209396.39999998</v>
      </c>
      <c r="W15" s="455">
        <f t="shared" si="9"/>
        <v>8.268354535221123E-3</v>
      </c>
      <c r="X15" s="393">
        <v>164846388.01999998</v>
      </c>
      <c r="Y15" s="461">
        <f t="shared" si="10"/>
        <v>-1.008974910754934E-2</v>
      </c>
      <c r="Z15" s="23">
        <v>166526599.63</v>
      </c>
      <c r="AC15" s="386"/>
      <c r="AE15" s="387"/>
      <c r="AF15" s="388"/>
      <c r="AG15" s="388"/>
      <c r="AH15" s="388"/>
      <c r="AI15" s="417"/>
      <c r="AJ15" s="417"/>
      <c r="AK15" s="417"/>
      <c r="AL15" s="417"/>
      <c r="AM15" s="420"/>
      <c r="AN15" s="417"/>
      <c r="AO15" s="420"/>
      <c r="AP15" s="417"/>
      <c r="AQ15" s="394"/>
      <c r="AR15" s="387"/>
      <c r="AS15" s="394"/>
      <c r="AT15" s="387"/>
      <c r="AU15" s="387"/>
      <c r="AV15" s="387"/>
      <c r="AW15" s="387"/>
      <c r="AX15" s="387"/>
      <c r="AY15" s="387"/>
      <c r="AZ15" s="387"/>
      <c r="BA15" s="387"/>
      <c r="BB15" s="387"/>
      <c r="BC15" s="387"/>
      <c r="BD15" s="387"/>
      <c r="BE15" s="387"/>
      <c r="BF15" s="387"/>
      <c r="BG15" s="387"/>
      <c r="BH15" s="387"/>
      <c r="BI15" s="387"/>
      <c r="BJ15" s="387"/>
      <c r="BK15" s="387"/>
      <c r="BL15" s="387"/>
      <c r="BM15" s="387"/>
      <c r="BN15" s="387"/>
      <c r="BO15" s="387"/>
      <c r="BP15" s="1"/>
      <c r="BQ15" s="1"/>
    </row>
    <row r="16" spans="1:69" ht="27.9" customHeight="1">
      <c r="A16" s="432" t="s">
        <v>10</v>
      </c>
      <c r="B16" s="58">
        <v>226577725.85000002</v>
      </c>
      <c r="C16" s="455">
        <f t="shared" si="11"/>
        <v>1.0760732784589404</v>
      </c>
      <c r="D16" s="390">
        <v>109137634.11000001</v>
      </c>
      <c r="E16" s="458">
        <f t="shared" si="19"/>
        <v>1.8466815506371428</v>
      </c>
      <c r="F16" s="58">
        <v>38338546.890000001</v>
      </c>
      <c r="G16" s="455">
        <f t="shared" si="12"/>
        <v>6.5396768719426124E-2</v>
      </c>
      <c r="H16" s="390">
        <v>35985229.18</v>
      </c>
      <c r="I16" s="458">
        <f t="shared" si="13"/>
        <v>-2.1278120203113593E-2</v>
      </c>
      <c r="J16" s="58">
        <v>36767574.039999999</v>
      </c>
      <c r="K16" s="455">
        <f t="shared" si="14"/>
        <v>0.27634896775646944</v>
      </c>
      <c r="L16" s="390">
        <v>28806834.940000001</v>
      </c>
      <c r="M16" s="458">
        <f t="shared" si="15"/>
        <v>-0.13318661401861476</v>
      </c>
      <c r="N16" s="58">
        <v>33233029.629999999</v>
      </c>
      <c r="O16" s="455">
        <f t="shared" si="16"/>
        <v>0.33146611746555465</v>
      </c>
      <c r="P16" s="390">
        <v>24959726.120000005</v>
      </c>
      <c r="Q16" s="458">
        <f t="shared" si="17"/>
        <v>-0.21669342418149029</v>
      </c>
      <c r="R16" s="58">
        <v>31864568.600000001</v>
      </c>
      <c r="S16" s="455">
        <f t="shared" si="18"/>
        <v>0.23409618773274099</v>
      </c>
      <c r="T16" s="390">
        <v>25820166.140000001</v>
      </c>
      <c r="U16" s="458">
        <f t="shared" si="9"/>
        <v>0.17827325681872574</v>
      </c>
      <c r="V16" s="23">
        <v>21913563.759999998</v>
      </c>
      <c r="W16" s="455">
        <f t="shared" si="9"/>
        <v>0.13319635725936463</v>
      </c>
      <c r="X16" s="393">
        <v>19337834.630000003</v>
      </c>
      <c r="Y16" s="461">
        <f t="shared" si="10"/>
        <v>-4.4912962813092983E-2</v>
      </c>
      <c r="Z16" s="23">
        <v>20247196.199999999</v>
      </c>
      <c r="AC16" s="386"/>
      <c r="AE16" s="387"/>
      <c r="AF16" s="388"/>
      <c r="AG16" s="388"/>
      <c r="AH16" s="388"/>
      <c r="AI16" s="417"/>
      <c r="AJ16" s="417"/>
      <c r="AK16" s="417"/>
      <c r="AL16" s="417"/>
      <c r="AM16" s="420"/>
      <c r="AN16" s="417"/>
      <c r="AO16" s="420"/>
      <c r="AP16" s="417"/>
      <c r="AQ16" s="394"/>
      <c r="AR16" s="387"/>
      <c r="AS16" s="394"/>
      <c r="AT16" s="387"/>
      <c r="AU16" s="387"/>
      <c r="AV16" s="387"/>
      <c r="AW16" s="387"/>
      <c r="AX16" s="387"/>
      <c r="AY16" s="387"/>
      <c r="AZ16" s="387"/>
      <c r="BA16" s="387"/>
      <c r="BB16" s="387"/>
      <c r="BC16" s="387"/>
      <c r="BD16" s="387"/>
      <c r="BE16" s="387"/>
      <c r="BF16" s="387"/>
      <c r="BG16" s="387"/>
      <c r="BH16" s="387"/>
      <c r="BI16" s="387"/>
      <c r="BJ16" s="387"/>
      <c r="BK16" s="387"/>
      <c r="BL16" s="387"/>
      <c r="BM16" s="387"/>
      <c r="BN16" s="387"/>
      <c r="BO16" s="387"/>
      <c r="BP16" s="1"/>
      <c r="BQ16" s="1"/>
    </row>
    <row r="17" spans="1:129" ht="27.9" customHeight="1">
      <c r="A17" s="432" t="s">
        <v>11</v>
      </c>
      <c r="B17" s="58">
        <v>226989069.55999997</v>
      </c>
      <c r="C17" s="455">
        <f t="shared" si="11"/>
        <v>0.1818243496479981</v>
      </c>
      <c r="D17" s="390">
        <v>192066671.86000001</v>
      </c>
      <c r="E17" s="458">
        <f t="shared" si="19"/>
        <v>9.6138741749889123E-2</v>
      </c>
      <c r="F17" s="58">
        <v>175221132.63999999</v>
      </c>
      <c r="G17" s="455">
        <f t="shared" si="12"/>
        <v>-1.9611834365427239E-3</v>
      </c>
      <c r="H17" s="390">
        <v>175565448.69</v>
      </c>
      <c r="I17" s="458">
        <f t="shared" si="13"/>
        <v>-1.7510138148833176E-2</v>
      </c>
      <c r="J17" s="58">
        <v>178694412.53999999</v>
      </c>
      <c r="K17" s="455">
        <f t="shared" si="14"/>
        <v>2.5927706633945391E-2</v>
      </c>
      <c r="L17" s="390">
        <v>174178366.94</v>
      </c>
      <c r="M17" s="458">
        <f t="shared" si="15"/>
        <v>2.1154753394271975E-2</v>
      </c>
      <c r="N17" s="58">
        <v>170570000.63999999</v>
      </c>
      <c r="O17" s="455">
        <f t="shared" si="16"/>
        <v>7.5128943262303682E-3</v>
      </c>
      <c r="P17" s="390">
        <v>169298082.03999999</v>
      </c>
      <c r="Q17" s="458">
        <f t="shared" si="17"/>
        <v>-2.3367434007507293E-2</v>
      </c>
      <c r="R17" s="58">
        <v>173348798.65279996</v>
      </c>
      <c r="S17" s="455">
        <f t="shared" si="18"/>
        <v>2.4091046319737908E-2</v>
      </c>
      <c r="T17" s="390">
        <v>169270885.90000001</v>
      </c>
      <c r="U17" s="458">
        <f t="shared" si="9"/>
        <v>1.4043193102445839E-2</v>
      </c>
      <c r="V17" s="23">
        <v>166926701.99000001</v>
      </c>
      <c r="W17" s="455">
        <f t="shared" si="9"/>
        <v>1.9740175105582125E-2</v>
      </c>
      <c r="X17" s="393">
        <v>163695327.56</v>
      </c>
      <c r="Y17" s="461">
        <f t="shared" si="10"/>
        <v>-4.6527127774999011E-3</v>
      </c>
      <c r="Z17" s="23">
        <v>164460515.09999999</v>
      </c>
      <c r="AC17" s="386"/>
      <c r="AE17" s="387"/>
      <c r="AF17" s="388"/>
      <c r="AG17" s="388"/>
      <c r="AH17" s="388"/>
      <c r="AI17" s="417"/>
      <c r="AJ17" s="417"/>
      <c r="AK17" s="417"/>
      <c r="AL17" s="417"/>
      <c r="AM17" s="420"/>
      <c r="AN17" s="417"/>
      <c r="AO17" s="420"/>
      <c r="AP17" s="417"/>
      <c r="AQ17" s="394"/>
      <c r="AR17" s="387"/>
      <c r="AS17" s="394"/>
      <c r="AT17" s="387"/>
      <c r="AU17" s="387"/>
      <c r="AV17" s="387"/>
      <c r="AW17" s="387"/>
      <c r="AX17" s="387"/>
      <c r="AY17" s="387"/>
      <c r="AZ17" s="387"/>
      <c r="BA17" s="387"/>
      <c r="BB17" s="387"/>
      <c r="BC17" s="387"/>
      <c r="BD17" s="387"/>
      <c r="BE17" s="387"/>
      <c r="BF17" s="387"/>
      <c r="BG17" s="387"/>
      <c r="BH17" s="387"/>
      <c r="BI17" s="387"/>
      <c r="BJ17" s="387"/>
      <c r="BK17" s="387"/>
      <c r="BL17" s="387"/>
      <c r="BM17" s="387"/>
      <c r="BN17" s="387"/>
      <c r="BO17" s="387"/>
      <c r="BP17" s="1"/>
      <c r="BQ17" s="1"/>
    </row>
    <row r="18" spans="1:129" ht="27.9" customHeight="1">
      <c r="A18" s="432" t="s">
        <v>12</v>
      </c>
      <c r="B18" s="58">
        <v>7334652.2199999997</v>
      </c>
      <c r="C18" s="455">
        <f t="shared" si="11"/>
        <v>-0.36727725041226689</v>
      </c>
      <c r="D18" s="390">
        <v>11592205.629999999</v>
      </c>
      <c r="E18" s="458">
        <f t="shared" si="19"/>
        <v>-0.1656104586363103</v>
      </c>
      <c r="F18" s="58">
        <v>13893038.029999999</v>
      </c>
      <c r="G18" s="455">
        <f t="shared" si="12"/>
        <v>-0.11511410330370697</v>
      </c>
      <c r="H18" s="390">
        <v>15700372.310000001</v>
      </c>
      <c r="I18" s="458">
        <f t="shared" si="13"/>
        <v>-9.3230616646257092E-3</v>
      </c>
      <c r="J18" s="58">
        <v>15848125.359999999</v>
      </c>
      <c r="K18" s="455">
        <f t="shared" si="14"/>
        <v>9.7997551534711569E-2</v>
      </c>
      <c r="L18" s="390">
        <v>14433661.84</v>
      </c>
      <c r="M18" s="458">
        <f t="shared" si="15"/>
        <v>-8.1899337847096465E-2</v>
      </c>
      <c r="N18" s="58">
        <v>15721219.289999999</v>
      </c>
      <c r="O18" s="455">
        <f t="shared" si="16"/>
        <v>1.7727586441414527</v>
      </c>
      <c r="P18" s="390">
        <v>5669883.7899999991</v>
      </c>
      <c r="Q18" s="458">
        <f t="shared" si="17"/>
        <v>8.023761824691733E-2</v>
      </c>
      <c r="R18" s="58">
        <v>5248737.5872</v>
      </c>
      <c r="S18" s="455">
        <f t="shared" si="18"/>
        <v>-0.22795557914706288</v>
      </c>
      <c r="T18" s="390">
        <v>6798491.7000000002</v>
      </c>
      <c r="U18" s="458">
        <f t="shared" si="9"/>
        <v>-0.14487780108362991</v>
      </c>
      <c r="V18" s="23">
        <v>7950316</v>
      </c>
      <c r="W18" s="455">
        <f t="shared" si="9"/>
        <v>-9.2296297658241766E-2</v>
      </c>
      <c r="X18" s="393">
        <v>8758712.7599999998</v>
      </c>
      <c r="Y18" s="461">
        <f t="shared" si="10"/>
        <v>-0.16365467902680375</v>
      </c>
      <c r="Z18" s="23">
        <v>10472603.289999999</v>
      </c>
      <c r="AC18" s="386"/>
      <c r="AE18" s="387"/>
      <c r="AF18" s="388"/>
      <c r="AG18" s="388"/>
      <c r="AH18" s="388"/>
      <c r="AI18" s="388"/>
      <c r="AJ18" s="388"/>
      <c r="AK18" s="388"/>
      <c r="AL18" s="388"/>
      <c r="AM18" s="394"/>
      <c r="AN18" s="388"/>
      <c r="AO18" s="394"/>
      <c r="AP18" s="388"/>
      <c r="AQ18" s="394"/>
      <c r="AR18" s="387"/>
      <c r="AS18" s="394"/>
      <c r="AT18" s="387"/>
      <c r="AU18" s="387"/>
      <c r="AV18" s="387"/>
      <c r="AW18" s="387"/>
      <c r="AX18" s="387"/>
      <c r="AY18" s="387"/>
      <c r="AZ18" s="387"/>
      <c r="BA18" s="387"/>
      <c r="BB18" s="387"/>
      <c r="BC18" s="387"/>
      <c r="BD18" s="387"/>
      <c r="BE18" s="387"/>
      <c r="BF18" s="387"/>
      <c r="BG18" s="387"/>
      <c r="BH18" s="387"/>
      <c r="BI18" s="387"/>
      <c r="BJ18" s="387"/>
      <c r="BK18" s="387"/>
      <c r="BL18" s="387"/>
      <c r="BM18" s="387"/>
      <c r="BN18" s="387"/>
      <c r="BO18" s="387"/>
      <c r="BP18" s="1"/>
      <c r="BQ18" s="1"/>
    </row>
    <row r="19" spans="1:129" ht="27.9" customHeight="1">
      <c r="A19" s="432" t="s">
        <v>13</v>
      </c>
      <c r="B19" s="58">
        <v>175523542.05000001</v>
      </c>
      <c r="C19" s="455">
        <f t="shared" si="11"/>
        <v>0.98393438389435262</v>
      </c>
      <c r="D19" s="390">
        <v>88472453.260000005</v>
      </c>
      <c r="E19" s="458">
        <f t="shared" si="19"/>
        <v>1.6484975264742845</v>
      </c>
      <c r="F19" s="58">
        <v>33404770.960000001</v>
      </c>
      <c r="G19" s="455">
        <f t="shared" si="12"/>
        <v>0.10307343339770658</v>
      </c>
      <c r="H19" s="390">
        <v>30283360.969999999</v>
      </c>
      <c r="I19" s="458">
        <f t="shared" si="13"/>
        <v>1.9236437631741543E-2</v>
      </c>
      <c r="J19" s="58">
        <v>29711811.559999999</v>
      </c>
      <c r="K19" s="455">
        <f t="shared" si="14"/>
        <v>0.27439373613628804</v>
      </c>
      <c r="L19" s="390">
        <v>23314467.670000002</v>
      </c>
      <c r="M19" s="458">
        <f t="shared" si="15"/>
        <v>-0.13438004925831182</v>
      </c>
      <c r="N19" s="58">
        <v>26933838.170000002</v>
      </c>
      <c r="O19" s="455">
        <f t="shared" si="16"/>
        <v>0.1009921087892891</v>
      </c>
      <c r="P19" s="390">
        <v>24463243.609999999</v>
      </c>
      <c r="Q19" s="458">
        <f t="shared" si="17"/>
        <v>0.17476948522666036</v>
      </c>
      <c r="R19" s="58">
        <v>20823867.080000002</v>
      </c>
      <c r="S19" s="455">
        <f t="shared" si="18"/>
        <v>0.29691739917666071</v>
      </c>
      <c r="T19" s="390">
        <v>16056432.810000001</v>
      </c>
      <c r="U19" s="458">
        <f t="shared" si="9"/>
        <v>0.21217748076579435</v>
      </c>
      <c r="V19" s="23">
        <v>13245942.17</v>
      </c>
      <c r="W19" s="455">
        <f t="shared" si="9"/>
        <v>0.12921877915941993</v>
      </c>
      <c r="X19" s="393">
        <v>11730182.33</v>
      </c>
      <c r="Y19" s="461">
        <f t="shared" si="10"/>
        <v>-9.3318233318921973E-3</v>
      </c>
      <c r="Z19" s="23">
        <v>11840677.440000001</v>
      </c>
      <c r="AC19" s="386"/>
      <c r="AE19" s="387"/>
      <c r="AF19" s="388"/>
      <c r="AG19" s="388"/>
      <c r="AH19" s="388"/>
      <c r="AI19" s="388"/>
      <c r="AJ19" s="388"/>
      <c r="AK19" s="388"/>
      <c r="AL19" s="388"/>
      <c r="AM19" s="394"/>
      <c r="AN19" s="388"/>
      <c r="AO19" s="394"/>
      <c r="AP19" s="388"/>
      <c r="AQ19" s="394"/>
      <c r="AR19" s="387"/>
      <c r="AS19" s="394"/>
      <c r="AT19" s="387"/>
      <c r="AU19" s="387"/>
      <c r="AV19" s="387"/>
      <c r="AW19" s="387"/>
      <c r="AX19" s="387"/>
      <c r="AY19" s="387"/>
      <c r="AZ19" s="387"/>
      <c r="BA19" s="387"/>
      <c r="BB19" s="387"/>
      <c r="BC19" s="387"/>
      <c r="BD19" s="387"/>
      <c r="BE19" s="387"/>
      <c r="BF19" s="387"/>
      <c r="BG19" s="387"/>
      <c r="BH19" s="387"/>
      <c r="BI19" s="387"/>
      <c r="BJ19" s="387"/>
      <c r="BK19" s="387"/>
      <c r="BL19" s="387"/>
      <c r="BM19" s="387"/>
      <c r="BN19" s="387"/>
      <c r="BO19" s="387"/>
      <c r="BP19" s="1"/>
      <c r="BQ19" s="1"/>
    </row>
    <row r="20" spans="1:129" ht="27.9" customHeight="1">
      <c r="F20" s="223"/>
      <c r="S20" s="388"/>
      <c r="T20" s="388"/>
      <c r="U20" s="388"/>
      <c r="V20" s="388"/>
      <c r="W20" s="394"/>
      <c r="X20" s="388"/>
      <c r="Y20" s="394"/>
      <c r="Z20" s="387"/>
      <c r="AA20" s="394"/>
      <c r="AB20" s="387"/>
      <c r="AC20" s="387"/>
      <c r="AD20" s="387"/>
      <c r="AE20" s="387"/>
      <c r="AF20" s="387"/>
      <c r="AG20" s="387"/>
      <c r="AH20" s="387"/>
      <c r="AI20" s="387"/>
      <c r="AJ20" s="387"/>
      <c r="AK20" s="387"/>
      <c r="AL20" s="387"/>
      <c r="AM20" s="387"/>
      <c r="AN20" s="387"/>
      <c r="AO20" s="387"/>
      <c r="AP20" s="387"/>
      <c r="AQ20" s="387"/>
      <c r="AR20" s="387"/>
      <c r="AS20" s="387"/>
      <c r="AT20" s="387"/>
      <c r="AU20" s="387"/>
      <c r="AV20" s="387"/>
      <c r="AW20" s="387"/>
      <c r="AX20" s="1"/>
      <c r="AY20" s="1"/>
    </row>
    <row r="21" spans="1:129" ht="48" customHeight="1">
      <c r="A21" s="525" t="s">
        <v>137</v>
      </c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375"/>
      <c r="N21" s="168"/>
      <c r="O21" s="168"/>
      <c r="P21" s="168"/>
      <c r="Q21" s="168"/>
      <c r="R21" s="168"/>
      <c r="S21" s="388"/>
      <c r="T21" s="388"/>
      <c r="U21" s="388"/>
      <c r="V21" s="388"/>
      <c r="W21" s="394"/>
      <c r="X21" s="388"/>
      <c r="Y21" s="394"/>
      <c r="Z21" s="387"/>
      <c r="AA21" s="394"/>
      <c r="AB21" s="387"/>
      <c r="AC21" s="387"/>
      <c r="AD21" s="387"/>
      <c r="AE21" s="387"/>
      <c r="AF21" s="387"/>
      <c r="AG21" s="387"/>
      <c r="AH21" s="387"/>
      <c r="AI21" s="387"/>
      <c r="AJ21" s="387"/>
      <c r="AK21" s="387"/>
      <c r="AL21" s="387"/>
      <c r="AM21" s="387"/>
      <c r="AN21" s="387"/>
      <c r="AO21" s="387"/>
      <c r="AP21" s="387"/>
      <c r="AQ21" s="387"/>
      <c r="AR21" s="387"/>
      <c r="AS21" s="387"/>
      <c r="AT21" s="387"/>
      <c r="AU21" s="387"/>
      <c r="AV21" s="387"/>
      <c r="AW21" s="387"/>
      <c r="AX21" s="1"/>
      <c r="AY21" s="1"/>
    </row>
    <row r="22" spans="1:129" ht="27.9" customHeight="1">
      <c r="A22" s="430"/>
      <c r="B22" s="17" t="s">
        <v>287</v>
      </c>
      <c r="C22" s="376" t="s">
        <v>113</v>
      </c>
      <c r="D22" s="24" t="s">
        <v>285</v>
      </c>
      <c r="E22" s="435" t="s">
        <v>113</v>
      </c>
      <c r="F22" s="17" t="s">
        <v>283</v>
      </c>
      <c r="G22" s="376" t="s">
        <v>113</v>
      </c>
      <c r="H22" s="24" t="s">
        <v>278</v>
      </c>
      <c r="I22" s="419" t="s">
        <v>113</v>
      </c>
      <c r="J22" s="17" t="s">
        <v>276</v>
      </c>
      <c r="K22" s="376" t="s">
        <v>113</v>
      </c>
      <c r="L22" s="24" t="s">
        <v>274</v>
      </c>
      <c r="M22" s="435" t="s">
        <v>113</v>
      </c>
      <c r="N22" s="17" t="s">
        <v>273</v>
      </c>
      <c r="O22" s="376" t="s">
        <v>113</v>
      </c>
      <c r="P22" s="24" t="s">
        <v>268</v>
      </c>
      <c r="Q22" s="419" t="s">
        <v>113</v>
      </c>
      <c r="R22" s="17" t="s">
        <v>266</v>
      </c>
      <c r="S22" s="376" t="s">
        <v>113</v>
      </c>
      <c r="T22" s="24" t="s">
        <v>264</v>
      </c>
      <c r="U22" s="435" t="s">
        <v>113</v>
      </c>
      <c r="V22" s="17" t="s">
        <v>256</v>
      </c>
      <c r="W22" s="376" t="s">
        <v>113</v>
      </c>
      <c r="X22" s="24" t="s">
        <v>252</v>
      </c>
      <c r="Y22" s="419" t="s">
        <v>113</v>
      </c>
      <c r="Z22" s="17" t="s">
        <v>249</v>
      </c>
      <c r="AA22" s="376" t="s">
        <v>113</v>
      </c>
      <c r="AB22" s="24" t="s">
        <v>247</v>
      </c>
      <c r="AC22" s="435" t="s">
        <v>113</v>
      </c>
      <c r="AD22" s="17" t="s">
        <v>245</v>
      </c>
      <c r="AE22" s="376" t="s">
        <v>113</v>
      </c>
      <c r="AF22" s="24" t="s">
        <v>241</v>
      </c>
      <c r="AG22" s="419" t="s">
        <v>113</v>
      </c>
      <c r="AH22" s="17" t="s">
        <v>239</v>
      </c>
      <c r="AI22" s="376" t="s">
        <v>113</v>
      </c>
      <c r="AJ22" s="24" t="s">
        <v>237</v>
      </c>
      <c r="AK22" s="435" t="s">
        <v>113</v>
      </c>
      <c r="AL22" s="17" t="s">
        <v>235</v>
      </c>
      <c r="AM22" s="376" t="s">
        <v>113</v>
      </c>
      <c r="AN22" s="24" t="s">
        <v>230</v>
      </c>
      <c r="AO22" s="419" t="s">
        <v>113</v>
      </c>
      <c r="AP22" s="17" t="s">
        <v>227</v>
      </c>
      <c r="AQ22" s="376" t="s">
        <v>113</v>
      </c>
      <c r="AR22" s="24" t="s">
        <v>225</v>
      </c>
      <c r="AS22" s="435" t="s">
        <v>113</v>
      </c>
      <c r="AT22" s="17" t="s">
        <v>220</v>
      </c>
      <c r="AU22" s="376" t="s">
        <v>113</v>
      </c>
      <c r="AV22" s="24" t="s">
        <v>216</v>
      </c>
      <c r="AW22" s="419" t="s">
        <v>113</v>
      </c>
      <c r="AX22" s="17" t="s">
        <v>214</v>
      </c>
      <c r="AY22" s="376" t="s">
        <v>113</v>
      </c>
      <c r="AZ22" s="24" t="s">
        <v>212</v>
      </c>
      <c r="BA22" s="435" t="s">
        <v>113</v>
      </c>
      <c r="BB22" s="376" t="s">
        <v>208</v>
      </c>
      <c r="BC22" s="376" t="s">
        <v>113</v>
      </c>
      <c r="BD22" s="24" t="s">
        <v>206</v>
      </c>
      <c r="BE22" s="470" t="s">
        <v>113</v>
      </c>
      <c r="BF22" s="17" t="s">
        <v>203</v>
      </c>
      <c r="BG22" s="376" t="s">
        <v>113</v>
      </c>
      <c r="BH22" s="24" t="s">
        <v>202</v>
      </c>
      <c r="BI22" s="435" t="s">
        <v>113</v>
      </c>
      <c r="BJ22" s="17">
        <v>2017</v>
      </c>
      <c r="BK22" s="376" t="s">
        <v>113</v>
      </c>
      <c r="BL22" s="24" t="s">
        <v>198</v>
      </c>
      <c r="BM22" s="419" t="s">
        <v>113</v>
      </c>
      <c r="BN22" s="17" t="s">
        <v>192</v>
      </c>
      <c r="BO22" s="376" t="s">
        <v>113</v>
      </c>
      <c r="BP22" s="24" t="s">
        <v>190</v>
      </c>
      <c r="BQ22" s="435" t="s">
        <v>113</v>
      </c>
      <c r="BR22" s="17">
        <v>2016</v>
      </c>
      <c r="BS22" s="376" t="s">
        <v>113</v>
      </c>
      <c r="BT22" s="24" t="s">
        <v>187</v>
      </c>
      <c r="BU22" s="419" t="s">
        <v>113</v>
      </c>
      <c r="BV22" s="17" t="s">
        <v>185</v>
      </c>
      <c r="BW22" s="376" t="s">
        <v>113</v>
      </c>
      <c r="BX22" s="24" t="s">
        <v>183</v>
      </c>
      <c r="BY22" s="435" t="s">
        <v>113</v>
      </c>
      <c r="BZ22" s="17" t="s">
        <v>181</v>
      </c>
      <c r="CA22" s="24" t="s">
        <v>179</v>
      </c>
      <c r="CB22" s="17" t="s">
        <v>175</v>
      </c>
      <c r="CC22" s="436" t="s">
        <v>155</v>
      </c>
      <c r="CD22" s="17" t="s">
        <v>114</v>
      </c>
      <c r="CE22" s="24" t="s">
        <v>14</v>
      </c>
      <c r="CF22" s="17" t="s">
        <v>15</v>
      </c>
      <c r="CG22" s="436" t="s">
        <v>16</v>
      </c>
      <c r="CH22" s="17" t="s">
        <v>17</v>
      </c>
      <c r="CI22" s="24" t="s">
        <v>18</v>
      </c>
      <c r="CJ22" s="17" t="s">
        <v>19</v>
      </c>
      <c r="CK22" s="436" t="s">
        <v>20</v>
      </c>
      <c r="CL22" s="17" t="s">
        <v>21</v>
      </c>
      <c r="CM22" s="24" t="s">
        <v>22</v>
      </c>
      <c r="CN22" s="17" t="s">
        <v>23</v>
      </c>
      <c r="CO22" s="24" t="s">
        <v>24</v>
      </c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</row>
    <row r="23" spans="1:129" ht="27.9" customHeight="1">
      <c r="A23" s="431" t="s">
        <v>2</v>
      </c>
      <c r="B23" s="396">
        <v>150140062.06</v>
      </c>
      <c r="C23" s="384">
        <f t="shared" ref="C23:C30" si="20">(B23/J23)-1</f>
        <v>1.9301381522155472</v>
      </c>
      <c r="D23" s="381">
        <v>24191840.600000001</v>
      </c>
      <c r="E23" s="437">
        <f>(D23/L23)-1</f>
        <v>0.16951118473828974</v>
      </c>
      <c r="F23" s="396">
        <v>252748978.49000001</v>
      </c>
      <c r="G23" s="384">
        <f t="shared" ref="G23:G30" si="21">(F23/N23)-1</f>
        <v>0.64011851134538933</v>
      </c>
      <c r="H23" s="381">
        <v>150051285.53999999</v>
      </c>
      <c r="I23" s="492">
        <f t="shared" ref="I23:I30" si="22">(H23/P23)-1</f>
        <v>4.6537643259711299</v>
      </c>
      <c r="J23" s="396">
        <v>51239925.990000002</v>
      </c>
      <c r="K23" s="384">
        <f t="shared" ref="K23:K30" si="23">(J23/R23)-1</f>
        <v>3.9388860537697115</v>
      </c>
      <c r="L23" s="381">
        <v>20685429.02</v>
      </c>
      <c r="M23" s="437">
        <f>(L23/T23)-1</f>
        <v>1.9478718082432129</v>
      </c>
      <c r="N23" s="396">
        <f t="shared" ref="N23:N30" si="24">D5</f>
        <v>154104094.75999999</v>
      </c>
      <c r="O23" s="384">
        <f>(N23/V23)-1</f>
        <v>1.1898251899267449</v>
      </c>
      <c r="P23" s="381">
        <v>26540067.27</v>
      </c>
      <c r="Q23" s="492">
        <f t="shared" ref="Q23:Q30" si="25">(P23/X23)-1</f>
        <v>-0.27196095352258987</v>
      </c>
      <c r="R23" s="396">
        <v>10374794.119999999</v>
      </c>
      <c r="S23" s="384">
        <f t="shared" ref="S23:S30" si="26">(R23/Z23)-1</f>
        <v>-0.66734651316036175</v>
      </c>
      <c r="T23" s="381">
        <v>7017072.0999999996</v>
      </c>
      <c r="U23" s="437">
        <f t="shared" ref="U23:U30" si="27">(T23/AB23)-1</f>
        <v>-0.63181833683429645</v>
      </c>
      <c r="V23" s="396">
        <f t="shared" ref="V23:V30" si="28">F5</f>
        <v>70372783.849999994</v>
      </c>
      <c r="W23" s="384">
        <f t="shared" ref="W23:W30" si="29">(V23/AD23)-1</f>
        <v>0.64439148714252958</v>
      </c>
      <c r="X23" s="381">
        <v>36454181.130000003</v>
      </c>
      <c r="Y23" s="492">
        <f t="shared" ref="Y23:Y30" si="30">(X23/AF23)-1</f>
        <v>2.7559095889898289</v>
      </c>
      <c r="Z23" s="396">
        <v>31187991.5</v>
      </c>
      <c r="AA23" s="384">
        <f t="shared" ref="AA23:AA30" si="31">(Z23/AH23)-1</f>
        <v>3.4295935247471787</v>
      </c>
      <c r="AB23" s="381">
        <v>19058722.370000001</v>
      </c>
      <c r="AC23" s="437">
        <f t="shared" ref="AC23:AC30" si="32">(AB23/AJ23)-1</f>
        <v>4.5657243857406957</v>
      </c>
      <c r="AD23" s="396">
        <f>H5</f>
        <v>42795638.630000003</v>
      </c>
      <c r="AE23" s="384">
        <f t="shared" ref="AE23:AE30" si="33">(AD23/AL23)-1</f>
        <v>3.1711348296943331E-2</v>
      </c>
      <c r="AF23" s="381">
        <v>9705819.6600000001</v>
      </c>
      <c r="AG23" s="492">
        <f t="shared" ref="AG23:AG30" si="34">(AF23/AN23)-1</f>
        <v>-0.45710856683334666</v>
      </c>
      <c r="AH23" s="396">
        <v>7040824.7000000002</v>
      </c>
      <c r="AI23" s="384">
        <f t="shared" ref="AI23:AI30" si="35">(AH23/AP23)-1</f>
        <v>-0.49973251045256817</v>
      </c>
      <c r="AJ23" s="381">
        <v>3424302.22</v>
      </c>
      <c r="AK23" s="437">
        <f>(AJ23/AR23)-1</f>
        <v>0.41890789196240208</v>
      </c>
      <c r="AL23" s="396">
        <f>J5</f>
        <v>41480244.159999996</v>
      </c>
      <c r="AM23" s="384">
        <f t="shared" ref="AM23:AM30" si="36">(AL23/AT23)-1</f>
        <v>-0.20465044116741105</v>
      </c>
      <c r="AN23" s="381">
        <v>17878012.190000001</v>
      </c>
      <c r="AO23" s="492">
        <f t="shared" ref="AO23:AO30" si="37">(AN23/AV23)-1</f>
        <v>-0.35140467387217844</v>
      </c>
      <c r="AP23" s="396">
        <v>14074120.039999999</v>
      </c>
      <c r="AQ23" s="384">
        <f>(AP23/AX23)-1</f>
        <v>-0.431804440305944</v>
      </c>
      <c r="AR23" s="381">
        <v>2413336.5099999998</v>
      </c>
      <c r="AS23" s="437">
        <f>(AR23/AZ23)-1</f>
        <v>-0.84475085326362653</v>
      </c>
      <c r="AT23" s="396">
        <f t="shared" ref="AT23:AT30" si="38">L5</f>
        <v>52153476.039999999</v>
      </c>
      <c r="AU23" s="384">
        <f t="shared" ref="AU23:AU30" si="39">(AT23/BB23)-1</f>
        <v>-1.1545300800552938E-2</v>
      </c>
      <c r="AV23" s="381">
        <v>27564201.390000001</v>
      </c>
      <c r="AW23" s="492">
        <f>(AV23/BD23)-1</f>
        <v>0.59207471126233036</v>
      </c>
      <c r="AX23" s="396">
        <v>24769852.210000001</v>
      </c>
      <c r="AY23" s="384">
        <f t="shared" ref="AY23:AY30" si="40">(AX23/BF23)-1</f>
        <v>1.3022824759238492</v>
      </c>
      <c r="AZ23" s="381">
        <v>15544926.08</v>
      </c>
      <c r="BA23" s="437">
        <f>(AZ23/BH23)-1</f>
        <v>2.254325324573339</v>
      </c>
      <c r="BB23" s="396">
        <f t="shared" ref="BB23:BB30" si="41">N5</f>
        <v>52762636.549999997</v>
      </c>
      <c r="BC23" s="455">
        <f>(BB23/BJ23)-1</f>
        <v>0.18967055583697845</v>
      </c>
      <c r="BD23" s="381">
        <v>17313384.350000001</v>
      </c>
      <c r="BE23" s="437">
        <f>(BD23/BL23)-1</f>
        <v>8.0441466008787987E-2</v>
      </c>
      <c r="BF23" s="396">
        <v>10758824.109999999</v>
      </c>
      <c r="BG23" s="384">
        <f>(BF23/BN23)-1</f>
        <v>3.9547767356355346E-2</v>
      </c>
      <c r="BH23" s="381">
        <v>4776697.0199999996</v>
      </c>
      <c r="BI23" s="437">
        <f>(BH23/BP23)-1</f>
        <v>2.4007122036467266E-2</v>
      </c>
      <c r="BJ23" s="396">
        <f>P5</f>
        <v>44350628.240000002</v>
      </c>
      <c r="BK23" s="384">
        <f>(BJ23/BR23)-1</f>
        <v>-0.32402259863018534</v>
      </c>
      <c r="BL23" s="438">
        <v>16024361.24</v>
      </c>
      <c r="BM23" s="382">
        <f>(BL23/BT23)-1</f>
        <v>-0.5267122981317176</v>
      </c>
      <c r="BN23" s="449">
        <f>[1]RZIS!B6</f>
        <v>10349523.560000001</v>
      </c>
      <c r="BO23" s="384">
        <f>(BN23/BV23)-1</f>
        <v>-0.61876198493906431</v>
      </c>
      <c r="BP23" s="381">
        <v>4664710.74</v>
      </c>
      <c r="BQ23" s="437">
        <f>(BP23/BX23)-1</f>
        <v>-0.43935625982798665</v>
      </c>
      <c r="BR23" s="396">
        <v>65609631.549999997</v>
      </c>
      <c r="BS23" s="384">
        <f>(BR23/BZ23)-1</f>
        <v>0.25495433855896055</v>
      </c>
      <c r="BT23" s="438">
        <f>[1]RZIS!E6</f>
        <v>33857548.329999998</v>
      </c>
      <c r="BU23" s="382">
        <f t="shared" ref="BU23:BU29" si="42">(BT23/CA23)-1</f>
        <v>0.28721731019796648</v>
      </c>
      <c r="BV23" s="396">
        <v>27147144.699999999</v>
      </c>
      <c r="BW23" s="450">
        <f>BV23/CB23-1</f>
        <v>0.52274623993624481</v>
      </c>
      <c r="BX23" s="381">
        <f>[1]RZIS!G6</f>
        <v>8320276.1500000004</v>
      </c>
      <c r="BY23" s="437">
        <f t="shared" ref="BY23:BY30" si="43">(BX23/CC23)-1</f>
        <v>0.10711566727312505</v>
      </c>
      <c r="BZ23" s="396">
        <f>[1]RZIS!H6</f>
        <v>52280493.030000001</v>
      </c>
      <c r="CA23" s="438">
        <f>[1]RZIS!I6</f>
        <v>26302900.109999999</v>
      </c>
      <c r="CB23" s="396">
        <f>[1]RZIS!J6</f>
        <v>17827753.559999999</v>
      </c>
      <c r="CC23" s="381">
        <v>7515272.7000000002</v>
      </c>
      <c r="CD23" s="445">
        <v>41128470.630000003</v>
      </c>
      <c r="CE23" s="438">
        <v>17710345.739999998</v>
      </c>
      <c r="CF23" s="383">
        <v>5834928.3399999999</v>
      </c>
      <c r="CG23" s="452">
        <v>2770085.85</v>
      </c>
      <c r="CH23" s="383">
        <v>31171994.350000001</v>
      </c>
      <c r="CI23" s="438">
        <v>12931300.16</v>
      </c>
      <c r="CJ23" s="383">
        <v>9430252.8900000006</v>
      </c>
      <c r="CK23" s="439">
        <v>3884552.59</v>
      </c>
      <c r="CL23" s="383">
        <v>31107807.739999998</v>
      </c>
      <c r="CM23" s="438">
        <v>14003232.59</v>
      </c>
      <c r="CN23" s="383">
        <v>7623549.7199999997</v>
      </c>
      <c r="CO23" s="438">
        <v>3371233.83</v>
      </c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</row>
    <row r="24" spans="1:129" ht="27.9" customHeight="1">
      <c r="A24" s="432" t="s">
        <v>3</v>
      </c>
      <c r="B24" s="58">
        <v>47086142.390000001</v>
      </c>
      <c r="C24" s="392">
        <f t="shared" si="20"/>
        <v>1.7812099241345574</v>
      </c>
      <c r="D24" s="390">
        <v>7125274.3099999996</v>
      </c>
      <c r="E24" s="440">
        <f t="shared" ref="E24:E30" si="44">(D24/L24)-1</f>
        <v>8.5360551005598806E-2</v>
      </c>
      <c r="F24" s="58">
        <v>75501414.159999996</v>
      </c>
      <c r="G24" s="392">
        <f t="shared" si="21"/>
        <v>0.3907768516562693</v>
      </c>
      <c r="H24" s="390">
        <v>44337394.039999999</v>
      </c>
      <c r="I24" s="493">
        <f t="shared" si="22"/>
        <v>9.5686303418273067</v>
      </c>
      <c r="J24" s="58">
        <v>16930092.899999999</v>
      </c>
      <c r="K24" s="392">
        <f t="shared" si="23"/>
        <v>296.73472948407056</v>
      </c>
      <c r="L24" s="390">
        <v>6564891.5499999998</v>
      </c>
      <c r="M24" s="440">
        <f t="shared" ref="M24:M30" si="45">(L24/T24)-1</f>
        <v>27.113449126685062</v>
      </c>
      <c r="N24" s="58">
        <f t="shared" si="24"/>
        <v>54287223.770000003</v>
      </c>
      <c r="O24" s="392">
        <f t="shared" ref="O24:O30" si="46">(N24/V24)-1</f>
        <v>1.4474105077822186</v>
      </c>
      <c r="P24" s="390">
        <v>4195188.2699999996</v>
      </c>
      <c r="Q24" s="493">
        <f t="shared" si="25"/>
        <v>-0.56418379733756907</v>
      </c>
      <c r="R24" s="58">
        <v>56863.01</v>
      </c>
      <c r="S24" s="392">
        <f t="shared" si="26"/>
        <v>-0.99363418578947749</v>
      </c>
      <c r="T24" s="390">
        <v>233514.27</v>
      </c>
      <c r="U24" s="440">
        <f t="shared" si="27"/>
        <v>-0.96080712042530791</v>
      </c>
      <c r="V24" s="58">
        <f t="shared" si="28"/>
        <v>22181494.93</v>
      </c>
      <c r="W24" s="392">
        <f t="shared" si="29"/>
        <v>1.1462855886312773</v>
      </c>
      <c r="X24" s="390">
        <v>9626049.3399999999</v>
      </c>
      <c r="Y24" s="493">
        <f t="shared" si="30"/>
        <v>13.836286806857197</v>
      </c>
      <c r="Z24" s="58">
        <v>8932558.8399999999</v>
      </c>
      <c r="AA24" s="392">
        <f t="shared" si="31"/>
        <v>10.834063843217843</v>
      </c>
      <c r="AB24" s="390">
        <v>5958078.9299999997</v>
      </c>
      <c r="AC24" s="440">
        <f t="shared" si="32"/>
        <v>-14.643197891162337</v>
      </c>
      <c r="AD24" s="58">
        <f>H6</f>
        <v>10334829.18</v>
      </c>
      <c r="AE24" s="392">
        <f t="shared" si="33"/>
        <v>-0.27623708259064905</v>
      </c>
      <c r="AF24" s="390">
        <v>648817.96</v>
      </c>
      <c r="AG24" s="493">
        <f t="shared" si="34"/>
        <v>-0.89132363548248195</v>
      </c>
      <c r="AH24" s="58">
        <v>754817.53</v>
      </c>
      <c r="AI24" s="392">
        <f t="shared" si="35"/>
        <v>-0.82342874897687313</v>
      </c>
      <c r="AJ24" s="390">
        <v>-436706.92</v>
      </c>
      <c r="AK24" s="440">
        <f t="shared" ref="AK24:AK30" si="47">(AJ24/AR24)-1</f>
        <v>-0.5155779057907246</v>
      </c>
      <c r="AL24" s="58">
        <f>J6</f>
        <v>14279301.869999999</v>
      </c>
      <c r="AM24" s="392">
        <f t="shared" si="36"/>
        <v>0.42182177052767655</v>
      </c>
      <c r="AN24" s="390">
        <v>5970184.6200000001</v>
      </c>
      <c r="AO24" s="493">
        <f t="shared" si="37"/>
        <v>0.16698684804857944</v>
      </c>
      <c r="AP24" s="58">
        <v>4274860.8600000003</v>
      </c>
      <c r="AQ24" s="392">
        <f t="shared" ref="AQ24:AQ30" si="48">(AP24/AX24)-1</f>
        <v>-0.21072686823869202</v>
      </c>
      <c r="AR24" s="390">
        <v>-901500.83</v>
      </c>
      <c r="AS24" s="440">
        <f>(AR24/AZ24)-1</f>
        <v>-1.2525967977637142</v>
      </c>
      <c r="AT24" s="58">
        <f t="shared" si="38"/>
        <v>10042961.9</v>
      </c>
      <c r="AU24" s="392">
        <f t="shared" si="39"/>
        <v>0.12113143356870748</v>
      </c>
      <c r="AV24" s="390">
        <v>5115897.09</v>
      </c>
      <c r="AW24" s="493">
        <f t="shared" ref="AW24:AW30" si="49">(AV24/BD24)-1</f>
        <v>-5.5108335056745643</v>
      </c>
      <c r="AX24" s="58">
        <v>5416199.6500000004</v>
      </c>
      <c r="AY24" s="392">
        <f t="shared" si="40"/>
        <v>-8.5336046749802001</v>
      </c>
      <c r="AZ24" s="390">
        <v>3568932.14</v>
      </c>
      <c r="BA24" s="440">
        <f t="shared" ref="BA24:BA30" si="50">(AZ24/BH24)-1</f>
        <v>-10.450063975157468</v>
      </c>
      <c r="BB24" s="58">
        <f t="shared" si="41"/>
        <v>8957880.9399999995</v>
      </c>
      <c r="BC24" s="455">
        <f>(BB24/BJ24)-1</f>
        <v>9.2788394084597714E-2</v>
      </c>
      <c r="BD24" s="390">
        <v>-1134135.6499999999</v>
      </c>
      <c r="BE24" s="440">
        <f>(BD24/BL24)-1</f>
        <v>-1.3617731303621368</v>
      </c>
      <c r="BF24" s="58">
        <v>-718938.66</v>
      </c>
      <c r="BG24" s="392">
        <f>(BF24/BN24)-1</f>
        <v>-1.9342416565686755</v>
      </c>
      <c r="BH24" s="390">
        <v>-377662.22000000067</v>
      </c>
      <c r="BI24" s="440">
        <f t="shared" ref="BI24:BI30" si="51">(BH24/BP24)-1</f>
        <v>-1.6168693585496388</v>
      </c>
      <c r="BJ24" s="58">
        <f>P6</f>
        <v>8197269.4699999988</v>
      </c>
      <c r="BK24" s="392">
        <f>(BJ24/BR24)-1</f>
        <v>-0.51796421765430811</v>
      </c>
      <c r="BL24" s="47">
        <v>3134936.1099999994</v>
      </c>
      <c r="BM24" s="391">
        <f>(BL24/BT24)-1</f>
        <v>-0.61654781520705204</v>
      </c>
      <c r="BN24" s="451">
        <v>769542.5</v>
      </c>
      <c r="BO24" s="392">
        <f>(BN24/BV24)-1</f>
        <v>-0.89678202476161595</v>
      </c>
      <c r="BP24" s="390">
        <v>612223.99000000022</v>
      </c>
      <c r="BQ24" s="440">
        <f t="shared" ref="BQ24:BQ30" si="52">(BP24/BX24)-1</f>
        <v>-0.68342880943492024</v>
      </c>
      <c r="BR24" s="58">
        <v>17005520.689999998</v>
      </c>
      <c r="BS24" s="392">
        <f>(BR24/BZ24)-1</f>
        <v>0.52811748018822868</v>
      </c>
      <c r="BT24" s="47">
        <f>[1]RZIS!E8</f>
        <v>8175559.3899999969</v>
      </c>
      <c r="BU24" s="391">
        <f t="shared" si="42"/>
        <v>0.85132889848231974</v>
      </c>
      <c r="BV24" s="58">
        <v>7455508.5800000001</v>
      </c>
      <c r="BW24" s="443">
        <f t="shared" ref="BW24:BW30" si="53">BV24/CB24-1</f>
        <v>3.7283014024054157</v>
      </c>
      <c r="BX24" s="390">
        <f>[1]RZIS!G8</f>
        <v>1933922</v>
      </c>
      <c r="BY24" s="440">
        <f t="shared" si="43"/>
        <v>2.8771444942127133</v>
      </c>
      <c r="BZ24" s="58">
        <f>[1]RZIS!H8</f>
        <v>11128411.859999999</v>
      </c>
      <c r="CA24" s="47">
        <f>[1]RZIS!I8</f>
        <v>4416049.1400000006</v>
      </c>
      <c r="CB24" s="58">
        <f>[1]RZIS!J8</f>
        <v>1576783.7</v>
      </c>
      <c r="CC24" s="390">
        <v>498800.60000000056</v>
      </c>
      <c r="CD24" s="446">
        <v>9435259.6100000031</v>
      </c>
      <c r="CE24" s="47">
        <v>4160689.6799999978</v>
      </c>
      <c r="CF24" s="23">
        <v>1204613.3900000006</v>
      </c>
      <c r="CG24" s="442">
        <v>312729.4700000002</v>
      </c>
      <c r="CH24" s="23">
        <v>3661111.2300000004</v>
      </c>
      <c r="CI24" s="47">
        <v>1219555.6999999993</v>
      </c>
      <c r="CJ24" s="23">
        <v>959617.30000000075</v>
      </c>
      <c r="CK24" s="441">
        <v>526565.71</v>
      </c>
      <c r="CL24" s="23">
        <v>7161372.6600000001</v>
      </c>
      <c r="CM24" s="47">
        <v>1610942.67</v>
      </c>
      <c r="CN24" s="23">
        <v>24880.679999999702</v>
      </c>
      <c r="CO24" s="47">
        <v>-471281.43999999994</v>
      </c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</row>
    <row r="25" spans="1:129" ht="27.9" customHeight="1">
      <c r="A25" s="432" t="s">
        <v>4</v>
      </c>
      <c r="B25" s="58">
        <v>34100909.149999999</v>
      </c>
      <c r="C25" s="392">
        <f t="shared" si="20"/>
        <v>3.9383513307883646</v>
      </c>
      <c r="D25" s="390">
        <v>1838692.26</v>
      </c>
      <c r="E25" s="440">
        <f t="shared" si="44"/>
        <v>-0.10463544409326653</v>
      </c>
      <c r="F25" s="58">
        <v>49811111.959999993</v>
      </c>
      <c r="G25" s="392">
        <f t="shared" si="21"/>
        <v>0.47119005219998922</v>
      </c>
      <c r="H25" s="390">
        <v>28464871.239999998</v>
      </c>
      <c r="I25" s="493">
        <f t="shared" si="22"/>
        <v>-4.2561334412416905</v>
      </c>
      <c r="J25" s="58">
        <v>6905322.6200000001</v>
      </c>
      <c r="K25" s="392">
        <f t="shared" si="23"/>
        <v>-1.8413898243922728</v>
      </c>
      <c r="L25" s="390">
        <v>2053568.29</v>
      </c>
      <c r="M25" s="440">
        <f t="shared" si="45"/>
        <v>-1.548943932220737</v>
      </c>
      <c r="N25" s="58">
        <f t="shared" si="24"/>
        <v>33857700.359999999</v>
      </c>
      <c r="O25" s="392">
        <f t="shared" si="46"/>
        <v>8.5913010565736805</v>
      </c>
      <c r="P25" s="390">
        <v>-8741924.0500000007</v>
      </c>
      <c r="Q25" s="493">
        <f t="shared" si="25"/>
        <v>1.4286985948328543</v>
      </c>
      <c r="R25" s="58">
        <v>-8207043.1799999997</v>
      </c>
      <c r="S25" s="392">
        <f t="shared" si="26"/>
        <v>-21.541429846192628</v>
      </c>
      <c r="T25" s="390">
        <v>-3740943.6</v>
      </c>
      <c r="U25" s="440">
        <f t="shared" si="27"/>
        <v>-2.9369051379391595</v>
      </c>
      <c r="V25" s="58">
        <f t="shared" si="28"/>
        <v>3530042.5</v>
      </c>
      <c r="W25" s="392">
        <f t="shared" si="29"/>
        <v>-1.9584683243689929</v>
      </c>
      <c r="X25" s="390">
        <v>-3599427.31</v>
      </c>
      <c r="Y25" s="493">
        <f t="shared" si="30"/>
        <v>-0.61334414387433234</v>
      </c>
      <c r="Z25" s="58">
        <v>399536.12</v>
      </c>
      <c r="AA25" s="392">
        <f t="shared" si="31"/>
        <v>-1.0734728239555598</v>
      </c>
      <c r="AB25" s="390">
        <v>1931402.59</v>
      </c>
      <c r="AC25" s="440">
        <f t="shared" si="32"/>
        <v>-1.7645901863655005</v>
      </c>
      <c r="AD25" s="58">
        <f>H7</f>
        <v>-3683003.82</v>
      </c>
      <c r="AE25" s="392">
        <f t="shared" si="33"/>
        <v>-1.9076425766878935</v>
      </c>
      <c r="AF25" s="390">
        <v>-9309124</v>
      </c>
      <c r="AG25" s="493">
        <f t="shared" si="34"/>
        <v>6.092832566061972</v>
      </c>
      <c r="AH25" s="58">
        <v>-5437876.1900000004</v>
      </c>
      <c r="AI25" s="392">
        <f t="shared" si="35"/>
        <v>46.2977002252563</v>
      </c>
      <c r="AJ25" s="390">
        <v>-2526062.4900000002</v>
      </c>
      <c r="AK25" s="440">
        <f t="shared" si="47"/>
        <v>-0.21078273253957547</v>
      </c>
      <c r="AL25" s="58">
        <f>J7</f>
        <v>4057768.9</v>
      </c>
      <c r="AM25" s="392">
        <f t="shared" si="36"/>
        <v>34.721397199927353</v>
      </c>
      <c r="AN25" s="390">
        <v>-1312469.1599999999</v>
      </c>
      <c r="AO25" s="493">
        <f t="shared" si="37"/>
        <v>-0.30630526984072082</v>
      </c>
      <c r="AP25" s="58">
        <v>-114971.26</v>
      </c>
      <c r="AQ25" s="392">
        <f t="shared" si="48"/>
        <v>-1.1496598805933693</v>
      </c>
      <c r="AR25" s="390">
        <v>-3200718.73</v>
      </c>
      <c r="AS25" s="440">
        <f t="shared" ref="AS25:AS30" si="54">(AR25/AZ25)-1</f>
        <v>-3.4654238441794081</v>
      </c>
      <c r="AT25" s="58">
        <f t="shared" si="38"/>
        <v>113594.91</v>
      </c>
      <c r="AU25" s="392">
        <f t="shared" si="39"/>
        <v>-0.81350248343405906</v>
      </c>
      <c r="AV25" s="390">
        <v>-1891998.17</v>
      </c>
      <c r="AW25" s="493">
        <f t="shared" si="49"/>
        <v>-0.73927514901807356</v>
      </c>
      <c r="AX25" s="58">
        <v>768216.97</v>
      </c>
      <c r="AY25" s="392">
        <f t="shared" si="40"/>
        <v>-1.1681204677125394</v>
      </c>
      <c r="AZ25" s="390">
        <v>1298242.79</v>
      </c>
      <c r="BA25" s="440">
        <f t="shared" si="50"/>
        <v>-1.5754862235080598</v>
      </c>
      <c r="BB25" s="58">
        <f t="shared" si="41"/>
        <v>609096.1</v>
      </c>
      <c r="BC25" s="455">
        <f t="shared" ref="BC25:BC30" si="55">(BB25/BJ25)-1</f>
        <v>-1.3081182905813558</v>
      </c>
      <c r="BD25" s="390">
        <v>-7256685.21</v>
      </c>
      <c r="BE25" s="440">
        <f t="shared" ref="BE25:BE37" si="56">(BD25/BL25)-1</f>
        <v>1.1688389431031152</v>
      </c>
      <c r="BF25" s="58">
        <v>-4569443.45</v>
      </c>
      <c r="BG25" s="392">
        <f t="shared" ref="BG25:BG30" si="57">(BF25/BN25)-1</f>
        <v>0.42170006729847365</v>
      </c>
      <c r="BH25" s="390">
        <v>-2255905.9400000004</v>
      </c>
      <c r="BI25" s="440">
        <f t="shared" si="51"/>
        <v>0.80749921992260054</v>
      </c>
      <c r="BJ25" s="58">
        <f>P7</f>
        <v>-1976825.5200000005</v>
      </c>
      <c r="BK25" s="392">
        <f t="shared" ref="BK25:BK30" si="58">(BJ25/BR25)-1</f>
        <v>-1.2728019327375499</v>
      </c>
      <c r="BL25" s="47">
        <v>-3345884.7800000003</v>
      </c>
      <c r="BM25" s="391">
        <f t="shared" ref="BM25:BM30" si="59">(BL25/BT25)-1</f>
        <v>-2.8880208546702315</v>
      </c>
      <c r="BN25" s="451">
        <f>[1]RZIS!B11</f>
        <v>-3214069.9399999995</v>
      </c>
      <c r="BO25" s="392">
        <f t="shared" ref="BO25:BO30" si="60">(BN25/BV25)-1</f>
        <v>-1.997475294139101</v>
      </c>
      <c r="BP25" s="390">
        <v>-1248081.2799999998</v>
      </c>
      <c r="BQ25" s="440">
        <f t="shared" si="52"/>
        <v>-7.4050267974924502</v>
      </c>
      <c r="BR25" s="58">
        <v>7246376.5199999977</v>
      </c>
      <c r="BS25" s="392">
        <f t="shared" ref="BS25:BS30" si="61">(BR25/BZ25)-1</f>
        <v>1.1551413622393967</v>
      </c>
      <c r="BT25" s="47">
        <f>[1]RZIS!E11</f>
        <v>1772165.1599999964</v>
      </c>
      <c r="BU25" s="391">
        <f t="shared" si="42"/>
        <v>-3.0450758251983148</v>
      </c>
      <c r="BV25" s="58">
        <v>3222205.06</v>
      </c>
      <c r="BW25" s="443">
        <f t="shared" si="53"/>
        <v>-2.8769672555706745</v>
      </c>
      <c r="BX25" s="390">
        <f>[1]RZIS!G11</f>
        <v>194859.65000000002</v>
      </c>
      <c r="BY25" s="440">
        <f t="shared" si="43"/>
        <v>-1.1775590911721008</v>
      </c>
      <c r="BZ25" s="58">
        <f>[1]RZIS!H11</f>
        <v>3362367.15</v>
      </c>
      <c r="CA25" s="47">
        <f>[1]RZIS!I11</f>
        <v>-866552.29999999935</v>
      </c>
      <c r="CB25" s="58">
        <f>[1]RZIS!J11</f>
        <v>-1716708.19</v>
      </c>
      <c r="CC25" s="390">
        <v>-1097435.4999999995</v>
      </c>
      <c r="CD25" s="446">
        <v>2114222.510000003</v>
      </c>
      <c r="CE25" s="47">
        <v>-714412.19000000227</v>
      </c>
      <c r="CF25" s="23">
        <v>-1616676.5899999996</v>
      </c>
      <c r="CG25" s="442">
        <v>-1054029.8499999996</v>
      </c>
      <c r="CH25" s="23">
        <v>-2739314.7499999995</v>
      </c>
      <c r="CI25" s="47">
        <v>-3541016.6100000008</v>
      </c>
      <c r="CJ25" s="23">
        <v>-2152586.7399999993</v>
      </c>
      <c r="CK25" s="441">
        <v>-823547.90000000014</v>
      </c>
      <c r="CL25" s="23">
        <v>1443666.8199999998</v>
      </c>
      <c r="CM25" s="47">
        <v>-2635903.2200000002</v>
      </c>
      <c r="CN25" s="23">
        <v>-2778734.99</v>
      </c>
      <c r="CO25" s="47">
        <v>-2006752.75</v>
      </c>
      <c r="CP25" s="379"/>
      <c r="CQ25" s="379"/>
      <c r="CR25" s="379"/>
      <c r="CS25" s="379"/>
      <c r="CT25" s="379"/>
      <c r="CU25" s="379"/>
      <c r="CV25" s="379"/>
      <c r="CW25" s="379"/>
      <c r="CX25" s="379"/>
      <c r="CY25" s="380"/>
      <c r="CZ25" s="379"/>
      <c r="DA25" s="379"/>
      <c r="DB25" s="379"/>
      <c r="DC25" s="379"/>
      <c r="DD25" s="379"/>
      <c r="DE25" s="379"/>
      <c r="DF25" s="379"/>
      <c r="DG25" s="379"/>
      <c r="DH25" s="379"/>
      <c r="DI25" s="379"/>
      <c r="DJ25" s="379"/>
      <c r="DK25" s="379"/>
      <c r="DL25" s="379"/>
      <c r="DM25" s="379"/>
      <c r="DN25" s="379"/>
      <c r="DO25" s="379"/>
      <c r="DP25" s="379"/>
      <c r="DQ25" s="379"/>
      <c r="DR25" s="379"/>
      <c r="DS25" s="379"/>
      <c r="DT25" s="379"/>
      <c r="DU25" s="379"/>
      <c r="DV25" s="379"/>
      <c r="DW25" s="380"/>
      <c r="DX25" s="1"/>
      <c r="DY25" s="1"/>
    </row>
    <row r="26" spans="1:129" ht="27.9" customHeight="1">
      <c r="A26" s="432" t="s">
        <v>136</v>
      </c>
      <c r="B26" s="58">
        <v>34807075.270000003</v>
      </c>
      <c r="C26" s="392">
        <f t="shared" si="20"/>
        <v>4.7405177920018433</v>
      </c>
      <c r="D26" s="390">
        <v>1859366.94</v>
      </c>
      <c r="E26" s="440">
        <f t="shared" si="44"/>
        <v>0.17079766382106465</v>
      </c>
      <c r="F26" s="58">
        <v>45499606.50999999</v>
      </c>
      <c r="G26" s="392">
        <f t="shared" si="21"/>
        <v>0.57842557345990087</v>
      </c>
      <c r="H26" s="390">
        <v>27655235.420000002</v>
      </c>
      <c r="I26" s="493">
        <f t="shared" si="22"/>
        <v>-3.3074967179215382</v>
      </c>
      <c r="J26" s="58">
        <v>6063403.4299999997</v>
      </c>
      <c r="K26" s="392">
        <f t="shared" si="23"/>
        <v>-1.7122856517166212</v>
      </c>
      <c r="L26" s="390">
        <v>1588119.79</v>
      </c>
      <c r="M26" s="440">
        <f t="shared" si="45"/>
        <v>-1.4280675329749606</v>
      </c>
      <c r="N26" s="58">
        <f t="shared" si="24"/>
        <v>28825943.57</v>
      </c>
      <c r="O26" s="392">
        <f t="shared" si="46"/>
        <v>12.988431152690231</v>
      </c>
      <c r="P26" s="390">
        <v>-11984951.140000001</v>
      </c>
      <c r="Q26" s="493">
        <f t="shared" si="25"/>
        <v>2.6488739025358092</v>
      </c>
      <c r="R26" s="58">
        <v>-8512600.8300000001</v>
      </c>
      <c r="S26" s="392">
        <f t="shared" si="26"/>
        <v>-22.429566989417506</v>
      </c>
      <c r="T26" s="390">
        <v>-3709974.87</v>
      </c>
      <c r="U26" s="440">
        <f t="shared" si="27"/>
        <v>-2.6069290165701062</v>
      </c>
      <c r="V26" s="58">
        <f t="shared" si="28"/>
        <v>2060698.82</v>
      </c>
      <c r="W26" s="392">
        <f t="shared" si="29"/>
        <v>-1.7056520028601403</v>
      </c>
      <c r="X26" s="390">
        <v>-3284561.61</v>
      </c>
      <c r="Y26" s="493">
        <f t="shared" si="30"/>
        <v>-0.62189346527827005</v>
      </c>
      <c r="Z26" s="58">
        <v>397236.25</v>
      </c>
      <c r="AA26" s="392">
        <f t="shared" si="31"/>
        <v>-1.0799928886931358</v>
      </c>
      <c r="AB26" s="390">
        <v>2308736</v>
      </c>
      <c r="AC26" s="440">
        <f t="shared" si="32"/>
        <v>-1.9520739736127741</v>
      </c>
      <c r="AD26" s="58">
        <f>H8</f>
        <v>-2920276.3</v>
      </c>
      <c r="AE26" s="392">
        <f t="shared" si="33"/>
        <v>-1.6208399170596379</v>
      </c>
      <c r="AF26" s="390">
        <v>-8686868.1400000006</v>
      </c>
      <c r="AG26" s="493">
        <f t="shared" si="34"/>
        <v>13.316691203071398</v>
      </c>
      <c r="AH26" s="58">
        <v>-4965894.55</v>
      </c>
      <c r="AI26" s="392">
        <f t="shared" si="35"/>
        <v>161.09110947616628</v>
      </c>
      <c r="AJ26" s="390">
        <v>-2424954.4300000002</v>
      </c>
      <c r="AK26" s="440">
        <f t="shared" si="47"/>
        <v>-0.32002175713291514</v>
      </c>
      <c r="AL26" s="58">
        <f>J8</f>
        <v>4703750.87</v>
      </c>
      <c r="AM26" s="392">
        <f t="shared" si="36"/>
        <v>17.484462110406263</v>
      </c>
      <c r="AN26" s="390">
        <v>-606765.06999999995</v>
      </c>
      <c r="AO26" s="493">
        <f t="shared" si="37"/>
        <v>-0.66196084204852879</v>
      </c>
      <c r="AP26" s="58">
        <v>-30636.44</v>
      </c>
      <c r="AQ26" s="392">
        <f t="shared" si="48"/>
        <v>-1.0280598532363259</v>
      </c>
      <c r="AR26" s="390">
        <v>-3566223.56</v>
      </c>
      <c r="AS26" s="440">
        <f t="shared" si="54"/>
        <v>-3.5960428770097326</v>
      </c>
      <c r="AT26" s="58">
        <f t="shared" si="38"/>
        <v>254470.53</v>
      </c>
      <c r="AU26" s="392">
        <f t="shared" si="39"/>
        <v>-0.88616078714102275</v>
      </c>
      <c r="AV26" s="390">
        <v>-1794954.98</v>
      </c>
      <c r="AW26" s="493">
        <f t="shared" si="49"/>
        <v>-0.7348341400161793</v>
      </c>
      <c r="AX26" s="58">
        <v>1091824.67</v>
      </c>
      <c r="AY26" s="392">
        <f t="shared" si="40"/>
        <v>-1.2454717207083261</v>
      </c>
      <c r="AZ26" s="390">
        <v>1373715.2</v>
      </c>
      <c r="BA26" s="440">
        <f t="shared" si="50"/>
        <v>-1.6322536461075661</v>
      </c>
      <c r="BB26" s="58">
        <f t="shared" si="41"/>
        <v>2235350.4</v>
      </c>
      <c r="BC26" s="455">
        <f t="shared" si="55"/>
        <v>-1.6188267999397912</v>
      </c>
      <c r="BD26" s="390">
        <v>-6769178.2800000003</v>
      </c>
      <c r="BE26" s="440">
        <f t="shared" si="56"/>
        <v>0.52363959673903149</v>
      </c>
      <c r="BF26" s="58">
        <v>-4447863.3499999996</v>
      </c>
      <c r="BG26" s="392">
        <f t="shared" si="57"/>
        <v>2.7255697752466723E-2</v>
      </c>
      <c r="BH26" s="390">
        <v>-2172728.0000000005</v>
      </c>
      <c r="BI26" s="440">
        <f t="shared" si="51"/>
        <v>0.59764352712261148</v>
      </c>
      <c r="BJ26" s="58">
        <f>P8</f>
        <v>-3612239.1600000006</v>
      </c>
      <c r="BK26" s="392">
        <f t="shared" si="58"/>
        <v>-1.7293372582244282</v>
      </c>
      <c r="BL26" s="47">
        <v>-4442768.6800000006</v>
      </c>
      <c r="BM26" s="391">
        <f t="shared" si="59"/>
        <v>-4.1385400021886944</v>
      </c>
      <c r="BN26" s="451">
        <f>[1]RZIS!B14</f>
        <v>-4329850.26</v>
      </c>
      <c r="BO26" s="392">
        <f t="shared" si="60"/>
        <v>-2.4746282909933219</v>
      </c>
      <c r="BP26" s="390">
        <v>-1359957.9399999997</v>
      </c>
      <c r="BQ26" s="440">
        <f t="shared" si="52"/>
        <v>-31.201736964493843</v>
      </c>
      <c r="BR26" s="58">
        <v>4952769.2699999977</v>
      </c>
      <c r="BS26" s="392">
        <f t="shared" si="61"/>
        <v>0.29498443283247955</v>
      </c>
      <c r="BT26" s="47">
        <f>[1]RZIS!E14</f>
        <v>1415552.6699999964</v>
      </c>
      <c r="BU26" s="391">
        <f t="shared" si="42"/>
        <v>-3.1650210977317599</v>
      </c>
      <c r="BV26" s="58">
        <f>[1]RZIS!F14</f>
        <v>2936231.649999998</v>
      </c>
      <c r="BW26" s="443">
        <f t="shared" si="53"/>
        <v>-2.9316943923204404</v>
      </c>
      <c r="BX26" s="390">
        <f>[1]RZIS!G14</f>
        <v>45029.130000000034</v>
      </c>
      <c r="BY26" s="440">
        <f t="shared" si="43"/>
        <v>-1.0413605360671532</v>
      </c>
      <c r="BZ26" s="58">
        <f>[1]RZIS!H14</f>
        <v>3824578.2299999995</v>
      </c>
      <c r="CA26" s="47">
        <f>[1]RZIS!I14</f>
        <v>-653828.57999999938</v>
      </c>
      <c r="CB26" s="58">
        <f>[1]RZIS!J14</f>
        <v>-1520029.08</v>
      </c>
      <c r="CC26" s="390">
        <v>-1088697.9299999997</v>
      </c>
      <c r="CD26" s="446">
        <v>2991572.7500000028</v>
      </c>
      <c r="CE26" s="47">
        <v>-49274.700000002282</v>
      </c>
      <c r="CF26" s="23">
        <v>-949785.74999999965</v>
      </c>
      <c r="CG26" s="442">
        <v>-397819.9499999996</v>
      </c>
      <c r="CH26" s="23">
        <v>-2768135.1499999994</v>
      </c>
      <c r="CI26" s="47">
        <v>-2615354.080000001</v>
      </c>
      <c r="CJ26" s="23">
        <v>-2234305.6799999992</v>
      </c>
      <c r="CK26" s="441">
        <v>-753959.83000000019</v>
      </c>
      <c r="CL26" s="23">
        <v>2238677.2499999995</v>
      </c>
      <c r="CM26" s="47">
        <v>-2312028.3200000003</v>
      </c>
      <c r="CN26" s="23">
        <v>-2842713.21</v>
      </c>
      <c r="CO26" s="47">
        <v>-2054945.98</v>
      </c>
      <c r="CP26" s="389"/>
      <c r="CQ26" s="389"/>
      <c r="CR26" s="389"/>
      <c r="CS26" s="389"/>
      <c r="CT26" s="389"/>
      <c r="CU26" s="389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</row>
    <row r="27" spans="1:129" ht="27.9" customHeight="1">
      <c r="A27" s="432" t="s">
        <v>5</v>
      </c>
      <c r="B27" s="58">
        <v>1619355.84</v>
      </c>
      <c r="C27" s="392">
        <f t="shared" si="20"/>
        <v>0.2467952334905632</v>
      </c>
      <c r="D27" s="390">
        <v>804430.05</v>
      </c>
      <c r="E27" s="440">
        <f t="shared" si="44"/>
        <v>0.23813167983566408</v>
      </c>
      <c r="F27" s="58">
        <v>2619266.6800000002</v>
      </c>
      <c r="G27" s="392">
        <f t="shared" si="21"/>
        <v>1.2689348794382216E-2</v>
      </c>
      <c r="H27" s="390">
        <v>1954398.38</v>
      </c>
      <c r="I27" s="493">
        <f t="shared" si="22"/>
        <v>3.3266968010014386E-2</v>
      </c>
      <c r="J27" s="58">
        <v>1298814.5900000001</v>
      </c>
      <c r="K27" s="392">
        <f t="shared" si="23"/>
        <v>3.5134961457157221E-2</v>
      </c>
      <c r="L27" s="390">
        <v>649712.84</v>
      </c>
      <c r="M27" s="440">
        <f t="shared" si="45"/>
        <v>1.7601575053845409E-2</v>
      </c>
      <c r="N27" s="58">
        <f t="shared" si="24"/>
        <v>2586446.36</v>
      </c>
      <c r="O27" s="392">
        <f t="shared" si="46"/>
        <v>-4.4693383670658005E-2</v>
      </c>
      <c r="P27" s="390">
        <v>1891474.75</v>
      </c>
      <c r="Q27" s="493">
        <f t="shared" si="25"/>
        <v>-7.1600135044103341E-2</v>
      </c>
      <c r="R27" s="58">
        <v>1254729.71</v>
      </c>
      <c r="S27" s="392">
        <f t="shared" si="26"/>
        <v>-9.0691678887359406E-2</v>
      </c>
      <c r="T27" s="390">
        <v>638474.68000000005</v>
      </c>
      <c r="U27" s="440">
        <f t="shared" si="27"/>
        <v>-6.7270219114876073E-2</v>
      </c>
      <c r="V27" s="58">
        <f t="shared" si="28"/>
        <v>2707451.53</v>
      </c>
      <c r="W27" s="392">
        <f t="shared" si="29"/>
        <v>0.26166497957797308</v>
      </c>
      <c r="X27" s="390">
        <v>2037349.23</v>
      </c>
      <c r="Y27" s="493">
        <f t="shared" si="30"/>
        <v>0.33046527355022204</v>
      </c>
      <c r="Z27" s="58">
        <v>1379872.68</v>
      </c>
      <c r="AA27" s="392">
        <f t="shared" si="31"/>
        <v>0.50755021310095927</v>
      </c>
      <c r="AB27" s="390">
        <v>684522.67</v>
      </c>
      <c r="AC27" s="440">
        <f t="shared" si="32"/>
        <v>0.67731093693029676</v>
      </c>
      <c r="AD27" s="58">
        <f>H9</f>
        <v>2145935.39</v>
      </c>
      <c r="AE27" s="392">
        <f>(AD27/AL27)-1</f>
        <v>0.19738039763990667</v>
      </c>
      <c r="AF27" s="390">
        <v>1531305.83</v>
      </c>
      <c r="AG27" s="493">
        <f t="shared" si="34"/>
        <v>0.11599564911297633</v>
      </c>
      <c r="AH27" s="58">
        <v>915307.94</v>
      </c>
      <c r="AI27" s="392">
        <f t="shared" si="35"/>
        <v>-3.4715690802365251E-2</v>
      </c>
      <c r="AJ27" s="390">
        <v>408107.2</v>
      </c>
      <c r="AK27" s="440">
        <f t="shared" si="47"/>
        <v>-0.13504198066762851</v>
      </c>
      <c r="AL27" s="58">
        <v>1792191.85</v>
      </c>
      <c r="AM27" s="392">
        <f t="shared" si="36"/>
        <v>1.7290815431943773E-2</v>
      </c>
      <c r="AN27" s="390">
        <v>1372143.19</v>
      </c>
      <c r="AO27" s="493">
        <f t="shared" si="37"/>
        <v>2.6601481382478642E-2</v>
      </c>
      <c r="AP27" s="58">
        <v>948226.27</v>
      </c>
      <c r="AQ27" s="392">
        <f t="shared" si="48"/>
        <v>5.1445135373026307E-2</v>
      </c>
      <c r="AR27" s="390">
        <v>471823.13</v>
      </c>
      <c r="AS27" s="440">
        <f t="shared" si="54"/>
        <v>3.0885524835061018E-2</v>
      </c>
      <c r="AT27" s="58">
        <f t="shared" si="38"/>
        <v>1761730.1</v>
      </c>
      <c r="AU27" s="392">
        <f t="shared" si="39"/>
        <v>-9.5609282985755661E-2</v>
      </c>
      <c r="AV27" s="390">
        <v>1336587.97</v>
      </c>
      <c r="AW27" s="493">
        <f t="shared" si="49"/>
        <v>-8.7443331161411675E-2</v>
      </c>
      <c r="AX27" s="58">
        <v>901831.43</v>
      </c>
      <c r="AY27" s="392">
        <f t="shared" si="40"/>
        <v>-7.8108901904862305E-2</v>
      </c>
      <c r="AZ27" s="390">
        <v>457687.22</v>
      </c>
      <c r="BA27" s="440">
        <f t="shared" si="50"/>
        <v>-4.2996461120807683E-2</v>
      </c>
      <c r="BB27" s="58">
        <f t="shared" si="41"/>
        <v>1947974.55</v>
      </c>
      <c r="BC27" s="455">
        <f t="shared" si="55"/>
        <v>9.3134276218483469E-2</v>
      </c>
      <c r="BD27" s="390">
        <v>1464662.98</v>
      </c>
      <c r="BE27" s="440">
        <f t="shared" si="56"/>
        <v>0.122072886815485</v>
      </c>
      <c r="BF27" s="58">
        <v>978240.74</v>
      </c>
      <c r="BG27" s="392">
        <f t="shared" si="57"/>
        <v>0.17650146008430401</v>
      </c>
      <c r="BH27" s="390">
        <v>478250.29</v>
      </c>
      <c r="BI27" s="440">
        <f t="shared" si="51"/>
        <v>0.17440608607437369</v>
      </c>
      <c r="BJ27" s="58">
        <f>P9</f>
        <v>1782008.48</v>
      </c>
      <c r="BK27" s="392">
        <f t="shared" si="58"/>
        <v>0.10396354355544779</v>
      </c>
      <c r="BL27" s="47">
        <v>1305318.93</v>
      </c>
      <c r="BM27" s="391">
        <f t="shared" si="59"/>
        <v>9.2480355767308398E-2</v>
      </c>
      <c r="BN27" s="451">
        <v>831482.81</v>
      </c>
      <c r="BO27" s="392">
        <f t="shared" si="60"/>
        <v>4.7810720264101825E-2</v>
      </c>
      <c r="BP27" s="390">
        <v>407227.36</v>
      </c>
      <c r="BQ27" s="440">
        <f t="shared" si="52"/>
        <v>3.0611900140720127E-2</v>
      </c>
      <c r="BR27" s="58">
        <v>1614191.42</v>
      </c>
      <c r="BS27" s="392">
        <f t="shared" si="61"/>
        <v>0.14921459713912233</v>
      </c>
      <c r="BT27" s="47">
        <f>[1]PP!E9</f>
        <v>1194821.4199999995</v>
      </c>
      <c r="BU27" s="391">
        <f t="shared" si="42"/>
        <v>0.20908443287579614</v>
      </c>
      <c r="BV27" s="58">
        <f>[1]PP!F9</f>
        <v>793542.95</v>
      </c>
      <c r="BW27" s="443">
        <f t="shared" si="53"/>
        <v>0.20497609819730589</v>
      </c>
      <c r="BX27" s="390">
        <f>[1]PP!G9</f>
        <v>395131.63</v>
      </c>
      <c r="BY27" s="440">
        <f t="shared" si="43"/>
        <v>0.19895424724748079</v>
      </c>
      <c r="BZ27" s="58">
        <v>1404604</v>
      </c>
      <c r="CA27" s="47">
        <v>988203.46</v>
      </c>
      <c r="CB27" s="58">
        <v>658554.93000000005</v>
      </c>
      <c r="CC27" s="390">
        <v>329563.56000000006</v>
      </c>
      <c r="CD27" s="446">
        <v>1306563.23</v>
      </c>
      <c r="CE27" s="47">
        <v>969739.7300000008</v>
      </c>
      <c r="CF27" s="23">
        <v>660843.83000000007</v>
      </c>
      <c r="CG27" s="442">
        <v>333051.08</v>
      </c>
      <c r="CH27" s="23">
        <v>1306013.8999999999</v>
      </c>
      <c r="CI27" s="47">
        <v>973143.67</v>
      </c>
      <c r="CJ27" s="23">
        <v>640292.80000000005</v>
      </c>
      <c r="CK27" s="441">
        <v>318398.39</v>
      </c>
      <c r="CL27" s="23">
        <v>1300453.5999999999</v>
      </c>
      <c r="CM27" s="47">
        <v>980372.99000000022</v>
      </c>
      <c r="CN27" s="23">
        <v>649342.17000000039</v>
      </c>
      <c r="CO27" s="47">
        <v>329826.80999999959</v>
      </c>
      <c r="CP27" s="18"/>
      <c r="CQ27" s="397"/>
      <c r="CR27" s="18"/>
      <c r="CS27" s="397"/>
      <c r="CT27" s="18"/>
      <c r="CU27" s="397"/>
      <c r="CV27" s="18"/>
      <c r="CW27" s="397"/>
      <c r="CX27" s="18"/>
      <c r="CY27" s="397"/>
      <c r="CZ27" s="18"/>
      <c r="DA27" s="397"/>
      <c r="DB27" s="18"/>
      <c r="DC27" s="397"/>
      <c r="DD27" s="18"/>
      <c r="DE27" s="397"/>
      <c r="DF27" s="18"/>
      <c r="DG27" s="397"/>
      <c r="DH27" s="18"/>
      <c r="DI27" s="397"/>
      <c r="DJ27" s="18"/>
      <c r="DK27" s="397"/>
      <c r="DL27" s="18"/>
      <c r="DM27" s="397"/>
      <c r="DN27" s="18"/>
      <c r="DO27" s="397"/>
      <c r="DP27" s="18"/>
      <c r="DQ27" s="397"/>
      <c r="DR27" s="18"/>
      <c r="DS27" s="397"/>
      <c r="DT27" s="18"/>
      <c r="DU27" s="397"/>
      <c r="DV27" s="18"/>
      <c r="DW27" s="397"/>
      <c r="DX27" s="1"/>
      <c r="DY27" s="1"/>
    </row>
    <row r="28" spans="1:129" ht="27.9" customHeight="1">
      <c r="A28" s="432" t="s">
        <v>1</v>
      </c>
      <c r="B28" s="23">
        <f>B26+B27</f>
        <v>36426431.110000007</v>
      </c>
      <c r="C28" s="392">
        <f t="shared" si="20"/>
        <v>3.9477522957137321</v>
      </c>
      <c r="D28" s="390">
        <f>D26+D27</f>
        <v>2663796.9900000002</v>
      </c>
      <c r="E28" s="440">
        <f t="shared" si="44"/>
        <v>0.19034683572381383</v>
      </c>
      <c r="F28" s="23">
        <f>F26+F27</f>
        <v>48118873.18999999</v>
      </c>
      <c r="G28" s="392">
        <f t="shared" si="21"/>
        <v>0.53184375010080576</v>
      </c>
      <c r="H28" s="390">
        <f>H26+H27</f>
        <v>29609633.800000001</v>
      </c>
      <c r="I28" s="493">
        <f t="shared" si="22"/>
        <v>-3.9335416912784793</v>
      </c>
      <c r="J28" s="23">
        <f>J26+J27</f>
        <v>7362218.0199999996</v>
      </c>
      <c r="K28" s="392">
        <f t="shared" si="23"/>
        <v>-2.0143770670868566</v>
      </c>
      <c r="L28" s="390">
        <f>L26+L27</f>
        <v>2237832.63</v>
      </c>
      <c r="M28" s="440">
        <f t="shared" si="45"/>
        <v>-1.7285796814487582</v>
      </c>
      <c r="N28" s="23">
        <f t="shared" si="24"/>
        <v>31412389.93</v>
      </c>
      <c r="O28" s="392">
        <f t="shared" si="46"/>
        <v>5.5879612898532027</v>
      </c>
      <c r="P28" s="390">
        <f>P26+P27</f>
        <v>-10093476.390000001</v>
      </c>
      <c r="Q28" s="493">
        <f t="shared" si="25"/>
        <v>7.0928288973526712</v>
      </c>
      <c r="R28" s="23">
        <f>R26+R27</f>
        <v>-7257871.1200000001</v>
      </c>
      <c r="S28" s="392">
        <f t="shared" si="26"/>
        <v>-5.0840890490601502</v>
      </c>
      <c r="T28" s="390">
        <f>T26+T27</f>
        <v>-3071500.19</v>
      </c>
      <c r="U28" s="440">
        <f t="shared" si="27"/>
        <v>-2.026139244424205</v>
      </c>
      <c r="V28" s="23">
        <f t="shared" si="28"/>
        <v>4768150.3499999996</v>
      </c>
      <c r="W28" s="392">
        <f t="shared" si="29"/>
        <v>-7.1576888014350182</v>
      </c>
      <c r="X28" s="390">
        <f>X26+X27</f>
        <v>-1247212.3799999999</v>
      </c>
      <c r="Y28" s="493">
        <f t="shared" si="30"/>
        <v>-0.82570029775898912</v>
      </c>
      <c r="Z28" s="23">
        <f>Z26+Z27</f>
        <v>1777108.93</v>
      </c>
      <c r="AA28" s="392">
        <f t="shared" si="31"/>
        <v>-1.4387287820516446</v>
      </c>
      <c r="AB28" s="390">
        <f>AB26+AB27</f>
        <v>2993258.67</v>
      </c>
      <c r="AC28" s="440">
        <f t="shared" si="32"/>
        <v>-2.4841276153573615</v>
      </c>
      <c r="AD28" s="58">
        <f>AD26+AD27</f>
        <v>-774340.90999999968</v>
      </c>
      <c r="AE28" s="392">
        <f t="shared" si="33"/>
        <v>-1.1192037774003032</v>
      </c>
      <c r="AF28" s="390">
        <f>AF26+AF27</f>
        <v>-7155562.3100000005</v>
      </c>
      <c r="AG28" s="493">
        <f t="shared" si="34"/>
        <v>-10.349055222534975</v>
      </c>
      <c r="AH28" s="23">
        <f>AH26+AH27</f>
        <v>-4050586.61</v>
      </c>
      <c r="AI28" s="392">
        <f t="shared" si="35"/>
        <v>-5.4143760943819519</v>
      </c>
      <c r="AJ28" s="390">
        <f>AJ26+AJ27</f>
        <v>-2016847.2300000002</v>
      </c>
      <c r="AK28" s="440">
        <f t="shared" si="47"/>
        <v>-0.34822681303725123</v>
      </c>
      <c r="AL28" s="23">
        <f>J10</f>
        <v>6495942.7200000007</v>
      </c>
      <c r="AM28" s="392">
        <f t="shared" si="36"/>
        <v>2.2218731724134022</v>
      </c>
      <c r="AN28" s="390">
        <f>AN26+AN27</f>
        <v>765378.12</v>
      </c>
      <c r="AO28" s="493">
        <f t="shared" si="37"/>
        <v>-2.6697932078488806</v>
      </c>
      <c r="AP28" s="23">
        <f>AP26+AP27</f>
        <v>917589.83000000007</v>
      </c>
      <c r="AQ28" s="392">
        <f t="shared" si="48"/>
        <v>-0.53974517972282177</v>
      </c>
      <c r="AR28" s="390">
        <f>AR26+AR27</f>
        <v>-3094400.43</v>
      </c>
      <c r="AS28" s="440">
        <f t="shared" si="54"/>
        <v>-2.6896343459019785</v>
      </c>
      <c r="AT28" s="23">
        <f t="shared" si="38"/>
        <v>2016200.6300000001</v>
      </c>
      <c r="AU28" s="392">
        <f t="shared" si="39"/>
        <v>-0.5180387241971246</v>
      </c>
      <c r="AV28" s="390">
        <f>AV26+AV27</f>
        <v>-458367.01</v>
      </c>
      <c r="AW28" s="493">
        <f t="shared" si="49"/>
        <v>-0.91358927553663571</v>
      </c>
      <c r="AX28" s="23">
        <f>AX26+AX27</f>
        <v>1993656.1</v>
      </c>
      <c r="AY28" s="392">
        <f t="shared" si="40"/>
        <v>-1.5746031554711366</v>
      </c>
      <c r="AZ28" s="390">
        <f>AZ26+AZ27</f>
        <v>1831402.42</v>
      </c>
      <c r="BA28" s="440">
        <f t="shared" si="50"/>
        <v>-2.0808064391711589</v>
      </c>
      <c r="BB28" s="23">
        <f t="shared" si="41"/>
        <v>4183324.95</v>
      </c>
      <c r="BC28" s="455">
        <f t="shared" si="55"/>
        <v>-3.2856817972256911</v>
      </c>
      <c r="BD28" s="390">
        <f>BD26+BD27</f>
        <v>-5304515.3000000007</v>
      </c>
      <c r="BE28" s="440">
        <f t="shared" si="56"/>
        <v>0.69070924562218061</v>
      </c>
      <c r="BF28" s="23">
        <f>BF26+BF27</f>
        <v>-3469622.6099999994</v>
      </c>
      <c r="BG28" s="392">
        <f t="shared" si="57"/>
        <v>-8.2166440234859861E-3</v>
      </c>
      <c r="BH28" s="390">
        <f>BH26+BH27</f>
        <v>-1694477.7100000004</v>
      </c>
      <c r="BI28" s="440">
        <f t="shared" si="51"/>
        <v>0.77854867427473673</v>
      </c>
      <c r="BJ28" s="23">
        <f>BJ26+BJ27</f>
        <v>-1830230.6800000006</v>
      </c>
      <c r="BK28" s="392">
        <f t="shared" si="58"/>
        <v>-1.2787028530240832</v>
      </c>
      <c r="BL28" s="390">
        <f t="shared" ref="BL28" si="62">BL26+BL27</f>
        <v>-3137449.7500000009</v>
      </c>
      <c r="BM28" s="391">
        <f t="shared" si="59"/>
        <v>-2.201915756833154</v>
      </c>
      <c r="BN28" s="451">
        <f>BN27+BN26</f>
        <v>-3498367.4499999997</v>
      </c>
      <c r="BO28" s="392">
        <f t="shared" si="60"/>
        <v>-1.9379568003921743</v>
      </c>
      <c r="BP28" s="390">
        <f>BP26+BP27</f>
        <v>-952730.57999999973</v>
      </c>
      <c r="BQ28" s="440">
        <f t="shared" si="52"/>
        <v>-3.1645059409657503</v>
      </c>
      <c r="BR28" s="23">
        <f>BR26+BR27</f>
        <v>6566960.6899999976</v>
      </c>
      <c r="BS28" s="392">
        <f t="shared" si="61"/>
        <v>0.25582938233154628</v>
      </c>
      <c r="BT28" s="390">
        <f t="shared" ref="BT28" si="63">BT26+BT27</f>
        <v>2610374.0899999961</v>
      </c>
      <c r="BU28" s="391">
        <f t="shared" si="42"/>
        <v>6.8067290521345134</v>
      </c>
      <c r="BV28" s="58">
        <f>BV27+BV26</f>
        <v>3729774.5999999978</v>
      </c>
      <c r="BW28" s="443">
        <f t="shared" si="53"/>
        <v>-5.3295258482219081</v>
      </c>
      <c r="BX28" s="390">
        <f>BX26+BX27</f>
        <v>440160.76</v>
      </c>
      <c r="BY28" s="440">
        <f t="shared" si="43"/>
        <v>-1.5798193012918125</v>
      </c>
      <c r="BZ28" s="58">
        <f>BZ26+BZ27</f>
        <v>5229182.2299999995</v>
      </c>
      <c r="CA28" s="390">
        <f t="shared" ref="CA28" si="64">CA26+CA27</f>
        <v>334374.88000000059</v>
      </c>
      <c r="CB28" s="58">
        <f>CB26+CB27</f>
        <v>-861474.15</v>
      </c>
      <c r="CC28" s="390">
        <f>CC26+CC27</f>
        <v>-759134.36999999965</v>
      </c>
      <c r="CD28" s="447">
        <f t="shared" ref="CD28:CO28" si="65">CD26+CD27</f>
        <v>4298135.9800000023</v>
      </c>
      <c r="CE28" s="390">
        <f t="shared" si="65"/>
        <v>920465.02999999851</v>
      </c>
      <c r="CF28" s="58">
        <f t="shared" si="65"/>
        <v>-288941.91999999958</v>
      </c>
      <c r="CG28" s="442">
        <f t="shared" si="65"/>
        <v>-64768.869999999588</v>
      </c>
      <c r="CH28" s="58">
        <f t="shared" si="65"/>
        <v>-1462121.2499999995</v>
      </c>
      <c r="CI28" s="390">
        <f t="shared" si="65"/>
        <v>-1642210.4100000011</v>
      </c>
      <c r="CJ28" s="58">
        <f t="shared" si="65"/>
        <v>-1594012.8799999992</v>
      </c>
      <c r="CK28" s="442">
        <f t="shared" si="65"/>
        <v>-435561.44000000018</v>
      </c>
      <c r="CL28" s="58">
        <f t="shared" si="65"/>
        <v>3539130.8499999996</v>
      </c>
      <c r="CM28" s="390">
        <f t="shared" si="65"/>
        <v>-1331655.33</v>
      </c>
      <c r="CN28" s="58">
        <f t="shared" si="65"/>
        <v>-2193371.0399999996</v>
      </c>
      <c r="CO28" s="390">
        <f t="shared" si="65"/>
        <v>-1725119.1700000004</v>
      </c>
      <c r="CP28" s="388"/>
      <c r="CQ28" s="394"/>
      <c r="CR28" s="388"/>
      <c r="CS28" s="394"/>
      <c r="CT28" s="388"/>
      <c r="CU28" s="394"/>
      <c r="CV28" s="388"/>
      <c r="CW28" s="394"/>
      <c r="CX28" s="388"/>
      <c r="CY28" s="394"/>
      <c r="CZ28" s="1"/>
      <c r="DA28" s="1"/>
      <c r="DB28" s="398"/>
      <c r="DC28" s="399"/>
      <c r="DD28" s="398"/>
      <c r="DE28" s="399"/>
      <c r="DF28" s="398"/>
      <c r="DG28" s="399"/>
      <c r="DH28" s="398"/>
      <c r="DI28" s="399"/>
      <c r="DJ28" s="398"/>
      <c r="DK28" s="399"/>
      <c r="DL28" s="398"/>
      <c r="DM28" s="399"/>
      <c r="DN28" s="398"/>
      <c r="DO28" s="399"/>
      <c r="DP28" s="398"/>
      <c r="DQ28" s="399"/>
      <c r="DR28" s="398"/>
      <c r="DS28" s="399"/>
      <c r="DT28" s="398"/>
      <c r="DU28" s="399"/>
      <c r="DV28" s="398"/>
      <c r="DW28" s="399"/>
      <c r="DX28" s="1"/>
      <c r="DY28" s="1"/>
    </row>
    <row r="29" spans="1:129" ht="27.9" customHeight="1">
      <c r="A29" s="432" t="s">
        <v>6</v>
      </c>
      <c r="B29" s="58">
        <v>36188265.979999997</v>
      </c>
      <c r="C29" s="392">
        <f t="shared" si="20"/>
        <v>5.9363779326013768</v>
      </c>
      <c r="D29" s="390">
        <v>2648813.3199999998</v>
      </c>
      <c r="E29" s="440">
        <f t="shared" si="44"/>
        <v>0.95928809468260923</v>
      </c>
      <c r="F29" s="58">
        <v>42391878.239999987</v>
      </c>
      <c r="G29" s="392">
        <f t="shared" si="21"/>
        <v>1.0371723500809256</v>
      </c>
      <c r="H29" s="390">
        <v>2648255.33</v>
      </c>
      <c r="I29" s="493">
        <f t="shared" si="22"/>
        <v>-1.1923550579953963</v>
      </c>
      <c r="J29" s="58">
        <v>5217170.45</v>
      </c>
      <c r="K29" s="392">
        <f t="shared" si="23"/>
        <v>-1.5287692575080005</v>
      </c>
      <c r="L29" s="390">
        <v>1351926.41</v>
      </c>
      <c r="M29" s="440">
        <f t="shared" si="45"/>
        <v>-1.3124406430129769</v>
      </c>
      <c r="N29" s="58">
        <f t="shared" si="24"/>
        <v>20809176.129999995</v>
      </c>
      <c r="O29" s="392">
        <f t="shared" si="46"/>
        <v>55.767961332967765</v>
      </c>
      <c r="P29" s="390">
        <v>-13767536.75</v>
      </c>
      <c r="Q29" s="493">
        <f t="shared" si="25"/>
        <v>2.4954370532902717</v>
      </c>
      <c r="R29" s="58">
        <v>-9866629.6799999997</v>
      </c>
      <c r="S29" s="392">
        <f t="shared" si="26"/>
        <v>-56.878384770334449</v>
      </c>
      <c r="T29" s="390">
        <v>-4326986.3899999997</v>
      </c>
      <c r="U29" s="440">
        <f t="shared" si="27"/>
        <v>-2.9197588798333642</v>
      </c>
      <c r="V29" s="58">
        <f t="shared" si="28"/>
        <v>366565.5</v>
      </c>
      <c r="W29" s="392">
        <f t="shared" si="29"/>
        <v>-1.1116102800440646</v>
      </c>
      <c r="X29" s="390">
        <v>-3938716.83</v>
      </c>
      <c r="Y29" s="493">
        <f t="shared" si="30"/>
        <v>-0.54880332768306817</v>
      </c>
      <c r="Z29" s="58">
        <v>176573.28</v>
      </c>
      <c r="AA29" s="392">
        <f t="shared" si="31"/>
        <v>-1.0343398242129269</v>
      </c>
      <c r="AB29" s="390">
        <v>2253921.7999999998</v>
      </c>
      <c r="AC29" s="440">
        <f t="shared" si="32"/>
        <v>-1.9320589018807317</v>
      </c>
      <c r="AD29" s="58">
        <f>H11</f>
        <v>-3284334.56</v>
      </c>
      <c r="AE29" s="392">
        <f t="shared" si="33"/>
        <v>-1.7095907615595203</v>
      </c>
      <c r="AF29" s="390">
        <v>-8729489.9800000004</v>
      </c>
      <c r="AG29" s="493">
        <f t="shared" si="34"/>
        <v>34.359416578475617</v>
      </c>
      <c r="AH29" s="58">
        <v>-5141938.96</v>
      </c>
      <c r="AI29" s="392">
        <f t="shared" si="35"/>
        <v>-51.877040349870384</v>
      </c>
      <c r="AJ29" s="390">
        <v>-2418218.2000000002</v>
      </c>
      <c r="AK29" s="440">
        <f t="shared" si="47"/>
        <v>-0.25634594877899997</v>
      </c>
      <c r="AL29" s="58">
        <f>J11</f>
        <v>4628491.1500000004</v>
      </c>
      <c r="AM29" s="392">
        <f t="shared" si="36"/>
        <v>-0.10279909751554617</v>
      </c>
      <c r="AN29" s="390">
        <v>-246878.79</v>
      </c>
      <c r="AO29" s="493">
        <f t="shared" si="37"/>
        <v>-1.0736253900382158</v>
      </c>
      <c r="AP29" s="58">
        <v>101066</v>
      </c>
      <c r="AQ29" s="392">
        <f t="shared" si="48"/>
        <v>-0.98345496629874729</v>
      </c>
      <c r="AR29" s="390">
        <v>-3251805.32</v>
      </c>
      <c r="AS29" s="440">
        <f t="shared" si="54"/>
        <v>-3.4051887969154815</v>
      </c>
      <c r="AT29" s="58">
        <f t="shared" si="38"/>
        <v>5158812.41</v>
      </c>
      <c r="AU29" s="392">
        <f t="shared" si="39"/>
        <v>1.4027244793785791</v>
      </c>
      <c r="AV29" s="390">
        <v>3353174.63</v>
      </c>
      <c r="AW29" s="493">
        <f t="shared" si="49"/>
        <v>-1.4960853903336111</v>
      </c>
      <c r="AX29" s="58">
        <v>6108539.9900000002</v>
      </c>
      <c r="AY29" s="392">
        <f t="shared" si="40"/>
        <v>-2.3939446396131649</v>
      </c>
      <c r="AZ29" s="390">
        <v>1351995.87</v>
      </c>
      <c r="BA29" s="440">
        <f t="shared" si="50"/>
        <v>-1.566017308024847</v>
      </c>
      <c r="BB29" s="58">
        <f t="shared" si="41"/>
        <v>2147067.8199999998</v>
      </c>
      <c r="BC29" s="455">
        <f t="shared" si="55"/>
        <v>-1.5554080041502125</v>
      </c>
      <c r="BD29" s="390">
        <v>-6759269.0599999996</v>
      </c>
      <c r="BE29" s="440">
        <f t="shared" si="56"/>
        <v>0.54531794855998839</v>
      </c>
      <c r="BF29" s="58">
        <v>-4382196.9800000004</v>
      </c>
      <c r="BG29" s="392">
        <f t="shared" si="57"/>
        <v>3.886102955214854E-2</v>
      </c>
      <c r="BH29" s="390">
        <v>-2388612.2400000007</v>
      </c>
      <c r="BI29" s="440">
        <f t="shared" si="51"/>
        <v>0.43161387973650411</v>
      </c>
      <c r="BJ29" s="58">
        <f>P11</f>
        <v>-3865748.7900000005</v>
      </c>
      <c r="BK29" s="392">
        <f t="shared" si="58"/>
        <v>-1.8172795088021241</v>
      </c>
      <c r="BL29" s="47">
        <v>-4374031.29</v>
      </c>
      <c r="BM29" s="391">
        <f t="shared" si="59"/>
        <v>-5.0813571294346822</v>
      </c>
      <c r="BN29" s="451">
        <f>[1]RZIS!B17</f>
        <v>-4218270.6399999997</v>
      </c>
      <c r="BO29" s="392">
        <f t="shared" si="60"/>
        <v>-2.6251731976541794</v>
      </c>
      <c r="BP29" s="390">
        <v>-1668475.19</v>
      </c>
      <c r="BQ29" s="440">
        <f t="shared" si="52"/>
        <v>13.956695665846405</v>
      </c>
      <c r="BR29" s="58">
        <v>4730020.4499999974</v>
      </c>
      <c r="BS29" s="392">
        <f t="shared" si="61"/>
        <v>0.23348042406445901</v>
      </c>
      <c r="BT29" s="47">
        <f>[1]RZIS!E17</f>
        <v>1071710.0099999965</v>
      </c>
      <c r="BU29" s="391">
        <f t="shared" si="42"/>
        <v>-2.8892580579003404</v>
      </c>
      <c r="BV29" s="58">
        <f>[1]RZIS!F17</f>
        <v>2595582.2099999981</v>
      </c>
      <c r="BW29" s="443">
        <f t="shared" si="53"/>
        <v>-2.7418685985210764</v>
      </c>
      <c r="BX29" s="390">
        <f>[1]RZIS!G17</f>
        <v>-111553.72999999998</v>
      </c>
      <c r="BY29" s="440">
        <f t="shared" si="43"/>
        <v>-0.87357569593912299</v>
      </c>
      <c r="BZ29" s="58">
        <f>[1]RZIS!H17</f>
        <v>3834694.3799999994</v>
      </c>
      <c r="CA29" s="47">
        <f>[1]RZIS!I17</f>
        <v>-567265.01999999932</v>
      </c>
      <c r="CB29" s="58">
        <f>[1]RZIS!J17</f>
        <v>-1490113.67</v>
      </c>
      <c r="CC29" s="390">
        <v>-882375.66999999969</v>
      </c>
      <c r="CD29" s="446">
        <v>3327116.2400000026</v>
      </c>
      <c r="CE29" s="47">
        <v>116726.83999999764</v>
      </c>
      <c r="CF29" s="23">
        <v>-1224846.2299999995</v>
      </c>
      <c r="CG29" s="442">
        <v>-522851.60999999958</v>
      </c>
      <c r="CH29" s="23">
        <v>-3529471.88</v>
      </c>
      <c r="CI29" s="47">
        <v>-3327099.2700000014</v>
      </c>
      <c r="CJ29" s="23">
        <v>-2789817.709999999</v>
      </c>
      <c r="CK29" s="441">
        <v>-887509.62000000023</v>
      </c>
      <c r="CL29" s="23">
        <v>982789.08999999962</v>
      </c>
      <c r="CM29" s="47">
        <v>-3175815.8000000003</v>
      </c>
      <c r="CN29" s="23">
        <v>-3381669.3000000003</v>
      </c>
      <c r="CO29" s="47">
        <v>-2301146.0299999998</v>
      </c>
      <c r="CP29" s="388"/>
      <c r="CQ29" s="394"/>
      <c r="CR29" s="388"/>
      <c r="CS29" s="394"/>
      <c r="CT29" s="388"/>
      <c r="CU29" s="394"/>
      <c r="CV29" s="388"/>
      <c r="CW29" s="394"/>
      <c r="CX29" s="388"/>
      <c r="CY29" s="394"/>
      <c r="CZ29" s="1"/>
      <c r="DA29" s="1"/>
      <c r="DB29" s="398"/>
      <c r="DC29" s="399"/>
      <c r="DD29" s="398"/>
      <c r="DE29" s="399"/>
      <c r="DF29" s="398"/>
      <c r="DG29" s="399"/>
      <c r="DH29" s="398"/>
      <c r="DI29" s="399"/>
      <c r="DJ29" s="398"/>
      <c r="DK29" s="399"/>
      <c r="DL29" s="398"/>
      <c r="DM29" s="399"/>
      <c r="DN29" s="398"/>
      <c r="DO29" s="399"/>
      <c r="DP29" s="398"/>
      <c r="DQ29" s="399"/>
      <c r="DR29" s="398"/>
      <c r="DS29" s="399"/>
      <c r="DT29" s="398"/>
      <c r="DU29" s="399"/>
      <c r="DV29" s="398"/>
      <c r="DW29" s="399"/>
      <c r="DX29" s="1"/>
      <c r="DY29" s="1"/>
    </row>
    <row r="30" spans="1:129" ht="27.9" customHeight="1">
      <c r="A30" s="432" t="s">
        <v>7</v>
      </c>
      <c r="B30" s="58">
        <v>28926534.98</v>
      </c>
      <c r="C30" s="392">
        <f t="shared" si="20"/>
        <v>5.8764260276255529</v>
      </c>
      <c r="D30" s="390">
        <v>2162523.3199999998</v>
      </c>
      <c r="E30" s="440">
        <f t="shared" si="44"/>
        <v>0.96323635582922518</v>
      </c>
      <c r="F30" s="58">
        <v>35017675.239999987</v>
      </c>
      <c r="G30" s="392">
        <f t="shared" si="21"/>
        <v>1.0681399295948153</v>
      </c>
      <c r="H30" s="390">
        <v>21409107.329999998</v>
      </c>
      <c r="I30" s="493">
        <f t="shared" si="22"/>
        <v>-2.9788927023625202</v>
      </c>
      <c r="J30" s="58">
        <v>4206623.45</v>
      </c>
      <c r="K30" s="392">
        <f t="shared" si="23"/>
        <v>-1.5975702188255112</v>
      </c>
      <c r="L30" s="390">
        <v>1101509.4099999999</v>
      </c>
      <c r="M30" s="440">
        <f t="shared" si="45"/>
        <v>-1.3161752295492211</v>
      </c>
      <c r="N30" s="58">
        <f t="shared" si="24"/>
        <v>16931966.129999995</v>
      </c>
      <c r="O30" s="392">
        <f t="shared" si="46"/>
        <v>393.15622720130352</v>
      </c>
      <c r="P30" s="390">
        <v>-10818730.75</v>
      </c>
      <c r="Q30" s="493">
        <f t="shared" si="25"/>
        <v>2.2635188130735235</v>
      </c>
      <c r="R30" s="58">
        <v>-7039546.6799999997</v>
      </c>
      <c r="S30" s="392">
        <f t="shared" si="26"/>
        <v>-149.48144073395054</v>
      </c>
      <c r="T30" s="390">
        <v>-3483857.39</v>
      </c>
      <c r="U30" s="440">
        <f t="shared" si="27"/>
        <v>-2.8657833092103311</v>
      </c>
      <c r="V30" s="58">
        <f t="shared" si="28"/>
        <v>42957.5</v>
      </c>
      <c r="W30" s="392">
        <f t="shared" si="29"/>
        <v>-1.0160705721137888</v>
      </c>
      <c r="X30" s="390">
        <v>-3315050.83</v>
      </c>
      <c r="Y30" s="493">
        <f t="shared" si="30"/>
        <v>-0.51973478182308719</v>
      </c>
      <c r="Z30" s="58">
        <v>47410.28</v>
      </c>
      <c r="AA30" s="392">
        <f t="shared" si="31"/>
        <v>-1.0114657556491984</v>
      </c>
      <c r="AB30" s="390">
        <v>1867235.8</v>
      </c>
      <c r="AC30" s="440">
        <f t="shared" si="32"/>
        <v>-1.9510026080766851</v>
      </c>
      <c r="AD30" s="58">
        <f>H12</f>
        <v>-2673053.56</v>
      </c>
      <c r="AE30" s="392">
        <f t="shared" si="33"/>
        <v>-1.7594486524623636</v>
      </c>
      <c r="AF30" s="390">
        <v>-6902541.9800000004</v>
      </c>
      <c r="AG30" s="493">
        <f t="shared" si="34"/>
        <v>70.620376441257292</v>
      </c>
      <c r="AH30" s="58">
        <v>-4134945.96</v>
      </c>
      <c r="AI30" s="392">
        <f t="shared" si="35"/>
        <v>-26.132630056222457</v>
      </c>
      <c r="AJ30" s="390">
        <v>-1963439.2</v>
      </c>
      <c r="AK30" s="440">
        <f t="shared" si="47"/>
        <v>-0.24268301136548331</v>
      </c>
      <c r="AL30" s="58">
        <f>J12</f>
        <v>3519729.15</v>
      </c>
      <c r="AM30" s="392">
        <f t="shared" si="36"/>
        <v>-9.9719438456613574E-2</v>
      </c>
      <c r="AN30" s="390">
        <v>-96376.79</v>
      </c>
      <c r="AO30" s="493">
        <f t="shared" si="37"/>
        <v>-1.0369087119229752</v>
      </c>
      <c r="AP30" s="58">
        <v>164525</v>
      </c>
      <c r="AQ30" s="392">
        <f t="shared" si="48"/>
        <v>-0.96638845843995147</v>
      </c>
      <c r="AR30" s="390">
        <v>-2592625.3199999998</v>
      </c>
      <c r="AS30" s="440">
        <f t="shared" si="54"/>
        <v>-3.375558931460461</v>
      </c>
      <c r="AT30" s="58">
        <f t="shared" si="38"/>
        <v>3909591.41</v>
      </c>
      <c r="AU30" s="392">
        <f t="shared" si="39"/>
        <v>1.750547110040038</v>
      </c>
      <c r="AV30" s="390">
        <v>2611220.63</v>
      </c>
      <c r="AW30" s="493">
        <f t="shared" si="49"/>
        <v>-1.4486303418034172</v>
      </c>
      <c r="AX30" s="58">
        <v>4894895.99</v>
      </c>
      <c r="AY30" s="392">
        <f t="shared" si="40"/>
        <v>-2.2712278830021035</v>
      </c>
      <c r="AZ30" s="390">
        <v>1091374.8700000001</v>
      </c>
      <c r="BA30" s="440">
        <f t="shared" si="50"/>
        <v>-1.5356611334552159</v>
      </c>
      <c r="BB30" s="58">
        <f t="shared" si="41"/>
        <v>1421386.82</v>
      </c>
      <c r="BC30" s="455">
        <f t="shared" si="55"/>
        <v>-1.4690509948132886</v>
      </c>
      <c r="BD30" s="390">
        <v>-5820428.0599999996</v>
      </c>
      <c r="BE30" s="440">
        <f t="shared" si="56"/>
        <v>0.69212101360630074</v>
      </c>
      <c r="BF30" s="58">
        <v>-3850525.98</v>
      </c>
      <c r="BG30" s="392">
        <f t="shared" si="57"/>
        <v>0.13433337075434748</v>
      </c>
      <c r="BH30" s="390">
        <v>-2037435.2400000007</v>
      </c>
      <c r="BI30" s="440">
        <f t="shared" si="51"/>
        <v>0.4609887157245729</v>
      </c>
      <c r="BJ30" s="58">
        <f>P12</f>
        <v>-3030346.0300000003</v>
      </c>
      <c r="BK30" s="392">
        <f t="shared" si="58"/>
        <v>-1.8654875567901392</v>
      </c>
      <c r="BL30" s="47">
        <v>-3439723.29</v>
      </c>
      <c r="BM30" s="391">
        <f t="shared" si="59"/>
        <v>-5.1265355771192285</v>
      </c>
      <c r="BN30" s="451">
        <f>[1]RZIS!B20</f>
        <v>-3394527.6399999997</v>
      </c>
      <c r="BO30" s="392">
        <f t="shared" si="60"/>
        <v>-2.6257937557872495</v>
      </c>
      <c r="BP30" s="390">
        <v>-1394559.19</v>
      </c>
      <c r="BQ30" s="440">
        <f t="shared" si="52"/>
        <v>9.3794488787507806</v>
      </c>
      <c r="BR30" s="58">
        <v>3501316.6927999975</v>
      </c>
      <c r="BS30" s="392">
        <f t="shared" si="61"/>
        <v>0.21668491487266639</v>
      </c>
      <c r="BT30" s="47">
        <f>[1]RZIS!E20</f>
        <v>833562.00999999652</v>
      </c>
      <c r="BU30" s="391">
        <f>(BT30/CA30)-1</f>
        <v>-3.1027296066672028</v>
      </c>
      <c r="BV30" s="58">
        <f>[1]RZIS!F20</f>
        <v>2087920.2099999981</v>
      </c>
      <c r="BW30" s="443">
        <f t="shared" si="53"/>
        <v>-2.4700250611535832</v>
      </c>
      <c r="BX30" s="390">
        <f>[1]RZIS!G20</f>
        <v>-134357.72999999998</v>
      </c>
      <c r="BY30" s="440">
        <f t="shared" si="43"/>
        <v>-0.84942532815236826</v>
      </c>
      <c r="BZ30" s="58">
        <f>[1]RZIS!H20</f>
        <v>2877751.3799999994</v>
      </c>
      <c r="CA30" s="47">
        <f>[1]RZIS!I20</f>
        <v>-396419.01999999932</v>
      </c>
      <c r="CB30" s="58">
        <f>[1]RZIS!J20</f>
        <v>-1420329.67</v>
      </c>
      <c r="CC30" s="390">
        <v>-892299.66999999969</v>
      </c>
      <c r="CD30" s="446">
        <v>2984396.2400000026</v>
      </c>
      <c r="CE30" s="47">
        <v>73106.839999997639</v>
      </c>
      <c r="CF30" s="23">
        <v>-1261834.2299999995</v>
      </c>
      <c r="CG30" s="442">
        <v>-516480.60999999958</v>
      </c>
      <c r="CH30" s="23">
        <v>-3792103.88</v>
      </c>
      <c r="CI30" s="47">
        <v>-3710756.2700000014</v>
      </c>
      <c r="CJ30" s="23">
        <v>-2980360.709999999</v>
      </c>
      <c r="CK30" s="441">
        <v>-1130647.6200000001</v>
      </c>
      <c r="CL30" s="23">
        <v>888028.08999999962</v>
      </c>
      <c r="CM30" s="47">
        <v>-3272063.8000000003</v>
      </c>
      <c r="CN30" s="23">
        <v>-3446127.3000000003</v>
      </c>
      <c r="CO30" s="47">
        <v>-2330669.0299999998</v>
      </c>
      <c r="CP30" s="388"/>
      <c r="CQ30" s="394"/>
      <c r="CR30" s="388"/>
      <c r="CS30" s="394"/>
      <c r="CT30" s="388"/>
      <c r="CU30" s="394"/>
      <c r="CV30" s="388"/>
      <c r="CW30" s="394"/>
      <c r="CX30" s="388"/>
      <c r="CY30" s="394"/>
      <c r="CZ30" s="1"/>
      <c r="DA30" s="1"/>
      <c r="DB30" s="398"/>
      <c r="DC30" s="399"/>
      <c r="DD30" s="398"/>
      <c r="DE30" s="399"/>
      <c r="DF30" s="398"/>
      <c r="DG30" s="399"/>
      <c r="DH30" s="398"/>
      <c r="DI30" s="399"/>
      <c r="DJ30" s="398"/>
      <c r="DK30" s="399"/>
      <c r="DL30" s="398"/>
      <c r="DM30" s="399"/>
      <c r="DN30" s="398"/>
      <c r="DO30" s="399"/>
      <c r="DP30" s="398"/>
      <c r="DQ30" s="399"/>
      <c r="DR30" s="398"/>
      <c r="DS30" s="399"/>
      <c r="DT30" s="398"/>
      <c r="DU30" s="399"/>
      <c r="DV30" s="398"/>
      <c r="DW30" s="399"/>
      <c r="DX30" s="1"/>
      <c r="DY30" s="1"/>
    </row>
    <row r="31" spans="1:129" ht="27.9" customHeight="1">
      <c r="A31" s="432"/>
      <c r="B31" s="58"/>
      <c r="C31" s="392"/>
      <c r="D31" s="390"/>
      <c r="E31" s="440"/>
      <c r="F31" s="58"/>
      <c r="G31" s="392"/>
      <c r="H31" s="390"/>
      <c r="I31" s="493"/>
      <c r="J31" s="58"/>
      <c r="K31" s="392"/>
      <c r="L31" s="390"/>
      <c r="M31" s="440"/>
      <c r="N31" s="58"/>
      <c r="O31" s="392"/>
      <c r="P31" s="390"/>
      <c r="Q31" s="493"/>
      <c r="R31" s="58"/>
      <c r="S31" s="392"/>
      <c r="T31" s="390"/>
      <c r="U31" s="440"/>
      <c r="V31" s="58"/>
      <c r="W31" s="392"/>
      <c r="X31" s="390"/>
      <c r="Y31" s="493"/>
      <c r="Z31" s="58"/>
      <c r="AA31" s="392"/>
      <c r="AB31" s="390"/>
      <c r="AC31" s="440"/>
      <c r="AD31" s="58"/>
      <c r="AE31" s="392"/>
      <c r="AF31" s="390"/>
      <c r="AG31" s="493"/>
      <c r="AH31" s="58"/>
      <c r="AI31" s="392"/>
      <c r="AJ31" s="390"/>
      <c r="AK31" s="440"/>
      <c r="AL31" s="58"/>
      <c r="AM31" s="392"/>
      <c r="AN31" s="390"/>
      <c r="AO31" s="493"/>
      <c r="AP31" s="58"/>
      <c r="AQ31" s="392"/>
      <c r="AR31" s="390"/>
      <c r="AS31" s="440"/>
      <c r="AT31" s="58"/>
      <c r="AU31" s="392"/>
      <c r="AV31" s="390"/>
      <c r="AW31" s="493"/>
      <c r="AX31" s="58"/>
      <c r="AY31" s="392"/>
      <c r="AZ31" s="390"/>
      <c r="BA31" s="440"/>
      <c r="BB31" s="58"/>
      <c r="BC31" s="455"/>
      <c r="BD31" s="390"/>
      <c r="BE31" s="440"/>
      <c r="BF31" s="58"/>
      <c r="BG31" s="392"/>
      <c r="BH31" s="390"/>
      <c r="BI31" s="440"/>
      <c r="BJ31" s="58"/>
      <c r="BK31" s="392"/>
      <c r="BL31" s="47"/>
      <c r="BM31" s="391"/>
      <c r="BN31" s="451"/>
      <c r="BO31" s="443"/>
      <c r="BP31" s="390"/>
      <c r="BQ31" s="440"/>
      <c r="BR31" s="58"/>
      <c r="BS31" s="392"/>
      <c r="BT31" s="47"/>
      <c r="BU31" s="391"/>
      <c r="BV31" s="58"/>
      <c r="BW31" s="443"/>
      <c r="BX31" s="390"/>
      <c r="BY31" s="440"/>
      <c r="BZ31" s="448"/>
      <c r="CA31" s="47"/>
      <c r="CB31" s="58"/>
      <c r="CC31" s="390"/>
      <c r="CD31" s="446"/>
      <c r="CE31" s="47"/>
      <c r="CF31" s="23"/>
      <c r="CG31" s="442"/>
      <c r="CH31" s="23"/>
      <c r="CI31" s="441"/>
      <c r="CJ31" s="23"/>
      <c r="CK31" s="441"/>
      <c r="CL31" s="23"/>
      <c r="CM31" s="47"/>
      <c r="CN31" s="23"/>
      <c r="CO31" s="47"/>
      <c r="CP31" s="388"/>
      <c r="CQ31" s="394"/>
      <c r="CR31" s="388"/>
      <c r="CS31" s="394"/>
      <c r="CT31" s="388"/>
      <c r="CU31" s="394"/>
      <c r="CV31" s="388"/>
      <c r="CW31" s="394"/>
      <c r="CX31" s="388"/>
      <c r="CY31" s="394"/>
      <c r="CZ31" s="1"/>
      <c r="DA31" s="1"/>
      <c r="DB31" s="398"/>
      <c r="DC31" s="399"/>
      <c r="DD31" s="398"/>
      <c r="DE31" s="399"/>
      <c r="DF31" s="398"/>
      <c r="DG31" s="399"/>
      <c r="DH31" s="398"/>
      <c r="DI31" s="399"/>
      <c r="DJ31" s="398"/>
      <c r="DK31" s="399"/>
      <c r="DL31" s="398"/>
      <c r="DM31" s="399"/>
      <c r="DN31" s="398"/>
      <c r="DO31" s="399"/>
      <c r="DP31" s="398"/>
      <c r="DQ31" s="399"/>
      <c r="DR31" s="398"/>
      <c r="DS31" s="399"/>
      <c r="DT31" s="398"/>
      <c r="DU31" s="399"/>
      <c r="DV31" s="398"/>
      <c r="DW31" s="399"/>
      <c r="DX31" s="1"/>
      <c r="DY31" s="1"/>
    </row>
    <row r="32" spans="1:129" ht="27.9" customHeight="1">
      <c r="A32" s="432" t="s">
        <v>8</v>
      </c>
      <c r="B32" s="58">
        <v>301227518.5</v>
      </c>
      <c r="C32" s="392">
        <f t="shared" ref="C32:C37" si="66">(B32/J32)-1</f>
        <v>6.7516294940506816E-2</v>
      </c>
      <c r="D32" s="390">
        <v>374365715.49000001</v>
      </c>
      <c r="E32" s="440">
        <f>(D32/L32)-1</f>
        <v>0.28583176007307598</v>
      </c>
      <c r="F32" s="58">
        <v>409847263.83000004</v>
      </c>
      <c r="G32" s="392">
        <f t="shared" ref="G32:G37" si="67">(F32/N32)-1</f>
        <v>0.40295552270201007</v>
      </c>
      <c r="H32" s="390">
        <v>260949318.25</v>
      </c>
      <c r="I32" s="493">
        <f t="shared" ref="I32:I37" si="68">(H32/P32)-1</f>
        <v>-1.3486161491572002E-2</v>
      </c>
      <c r="J32" s="58">
        <v>282176037.89999998</v>
      </c>
      <c r="K32" s="392">
        <f t="shared" ref="K32:K37" si="69">(J32/R32)-1</f>
        <v>0.16337648293982343</v>
      </c>
      <c r="L32" s="390">
        <v>291146732.5</v>
      </c>
      <c r="M32" s="440">
        <f>(L32/T32)-1</f>
        <v>0.24912909347497192</v>
      </c>
      <c r="N32" s="58">
        <f t="shared" ref="N32:N37" si="70">D14</f>
        <v>292131330.75</v>
      </c>
      <c r="O32" s="392">
        <f t="shared" ref="O32:O37" si="71">(N32/V32)-1</f>
        <v>0.31283803801183852</v>
      </c>
      <c r="P32" s="390">
        <v>264516632.26999998</v>
      </c>
      <c r="Q32" s="493">
        <f t="shared" ref="Q32:Q37" si="72">(P32/X32)-1</f>
        <v>0.15141405631635596</v>
      </c>
      <c r="R32" s="58">
        <v>242549202.28999999</v>
      </c>
      <c r="S32" s="392">
        <f t="shared" ref="S32:S37" si="73">(R32/Z32)-1</f>
        <v>0.10040482958402408</v>
      </c>
      <c r="T32" s="390">
        <v>233079778.56</v>
      </c>
      <c r="U32" s="440">
        <f>(T32/AB32)-1</f>
        <v>8.6261772596614605E-2</v>
      </c>
      <c r="V32" s="58">
        <f t="shared" ref="V32:V37" si="74">F14</f>
        <v>222518941.63</v>
      </c>
      <c r="W32" s="392">
        <f t="shared" ref="W32:W37" si="75">(V32/AD32)-1</f>
        <v>4.3771755389794276E-3</v>
      </c>
      <c r="X32" s="390">
        <v>229731981.13999999</v>
      </c>
      <c r="Y32" s="493">
        <f t="shared" ref="Y32:Y37" si="76">(X32/AF32)-1</f>
        <v>2.2772085163699662E-2</v>
      </c>
      <c r="Z32" s="58">
        <v>220418155</v>
      </c>
      <c r="AA32" s="392">
        <f t="shared" ref="AA32:AA37" si="77">(Z32/AH32)-1</f>
        <v>1.5122534174189628E-2</v>
      </c>
      <c r="AB32" s="390">
        <v>214570543.16</v>
      </c>
      <c r="AC32" s="440">
        <f t="shared" ref="AC32:AC37" si="78">(AB32/AJ32)-1</f>
        <v>-1.5286846235994411E-2</v>
      </c>
      <c r="AD32" s="58">
        <f t="shared" ref="AD32:AD37" si="79">H14</f>
        <v>221549181.97</v>
      </c>
      <c r="AE32" s="392">
        <f t="shared" ref="AE32:AE37" si="80">(AD32/AL32)-1</f>
        <v>-1.2062943245087498E-2</v>
      </c>
      <c r="AF32" s="390">
        <v>224616984.05000001</v>
      </c>
      <c r="AG32" s="493">
        <f t="shared" ref="AG32:AG37" si="81">(AF32/AN32)-1</f>
        <v>4.6820928970638942E-2</v>
      </c>
      <c r="AH32" s="58">
        <v>217134530.63999999</v>
      </c>
      <c r="AI32" s="392">
        <f t="shared" ref="AI32:AI37" si="82">(AH32/AP32)-1</f>
        <v>3.0633009648952658E-3</v>
      </c>
      <c r="AJ32" s="390">
        <v>217901570.97</v>
      </c>
      <c r="AK32" s="440">
        <f t="shared" ref="AK32:AK37" si="83">(AJ32/AR32)-1</f>
        <v>3.9031979835433939E-2</v>
      </c>
      <c r="AL32" s="58">
        <f t="shared" ref="AL32:AL37" si="84">J14</f>
        <v>224254349.46000001</v>
      </c>
      <c r="AM32" s="392">
        <f t="shared" ref="AM32:AM37" si="85">(AL32/AT32)-1</f>
        <v>5.8170418595621554E-2</v>
      </c>
      <c r="AN32" s="390">
        <v>214570589.71000001</v>
      </c>
      <c r="AO32" s="493">
        <f t="shared" ref="AO32:AO37" si="86">(AN32/AV32)-1</f>
        <v>1.0452611093665798E-2</v>
      </c>
      <c r="AP32" s="58">
        <v>216471413.55000001</v>
      </c>
      <c r="AQ32" s="392">
        <f>(AP32/AX32)-1</f>
        <v>2.2347219673796825E-2</v>
      </c>
      <c r="AR32" s="390">
        <v>209715942.53</v>
      </c>
      <c r="AS32" s="440">
        <f t="shared" ref="AS32:AS37" si="87">(AR32/AZ32)-1</f>
        <v>1.2908850700959373E-2</v>
      </c>
      <c r="AT32" s="58">
        <f t="shared" ref="AT32:AT37" si="88">L14</f>
        <v>211926496.44999999</v>
      </c>
      <c r="AU32" s="392">
        <f t="shared" ref="AU32:AU37" si="89">(AT32/BB32)-1</f>
        <v>-6.0900987040228838E-3</v>
      </c>
      <c r="AV32" s="390">
        <v>212350967.63</v>
      </c>
      <c r="AW32" s="493">
        <f t="shared" ref="AW32:AW37" si="90">(AV32/BD32)-1</f>
        <v>-4.3622388550011992E-3</v>
      </c>
      <c r="AX32" s="58">
        <v>211739621.71000001</v>
      </c>
      <c r="AY32" s="392">
        <f t="shared" ref="AY32:AY37" si="91">(AX32/BF32)-1</f>
        <v>4.5107987645909287E-3</v>
      </c>
      <c r="AZ32" s="390">
        <v>207043252.09999999</v>
      </c>
      <c r="BA32" s="440">
        <f t="shared" ref="BA32:BA37" si="92">(AZ32/BH32)-1</f>
        <v>2.59318821301604E-2</v>
      </c>
      <c r="BB32" s="58">
        <f t="shared" ref="BB32:BB37" si="93">N14</f>
        <v>213225058.09999999</v>
      </c>
      <c r="BC32" s="455">
        <f>(BB32/BJ32)-1</f>
        <v>6.9165947991455035E-2</v>
      </c>
      <c r="BD32" s="390">
        <v>213281351.83000001</v>
      </c>
      <c r="BE32" s="440">
        <f>(BD32/BL32)-1</f>
        <v>1.924545302390035E-2</v>
      </c>
      <c r="BF32" s="58">
        <v>210788795.87</v>
      </c>
      <c r="BG32" s="392">
        <f t="shared" ref="BG32:BI37" si="94">(BF32/BN32)-1</f>
        <v>7.3820372813293345E-2</v>
      </c>
      <c r="BH32" s="390">
        <v>201809940.50999999</v>
      </c>
      <c r="BI32" s="440">
        <f t="shared" si="94"/>
        <v>2.1800802896158933E-2</v>
      </c>
      <c r="BJ32" s="58">
        <f t="shared" ref="BJ32:BJ37" si="95">P14</f>
        <v>199431209.44</v>
      </c>
      <c r="BK32" s="392">
        <f>(BJ32/BR32)-1</f>
        <v>4.9172856256829434E-5</v>
      </c>
      <c r="BL32" s="47">
        <v>209254160.71000001</v>
      </c>
      <c r="BM32" s="391">
        <f>(BL32/BT32)-1</f>
        <v>4.145498888425414E-2</v>
      </c>
      <c r="BN32" s="451">
        <f>[1]BILANS!B30</f>
        <v>196298004.03000003</v>
      </c>
      <c r="BO32" s="443">
        <f t="shared" ref="BO32:BO37" si="96">BN32/BV32-1</f>
        <v>-2.6517977647112612E-2</v>
      </c>
      <c r="BP32" s="390">
        <v>197504190.57999998</v>
      </c>
      <c r="BQ32" s="440">
        <f t="shared" ref="BQ32:BQ37" si="97">(BP32/BX32)-1</f>
        <v>-3.9874379688917827E-3</v>
      </c>
      <c r="BR32" s="58">
        <v>199421403.31999999</v>
      </c>
      <c r="BS32" s="392">
        <f>(BR32/BZ32)-1</f>
        <v>3.4719818892460008E-2</v>
      </c>
      <c r="BT32" s="47">
        <f>[1]BILANS!E30</f>
        <v>200924824.35000002</v>
      </c>
      <c r="BU32" s="391">
        <f t="shared" ref="BU32:BU37" si="98">(BT32/CA32)-1</f>
        <v>1.3738231063956663E-2</v>
      </c>
      <c r="BV32" s="58">
        <f>[1]BILANS!F30</f>
        <v>201645227.67000002</v>
      </c>
      <c r="BW32" s="443">
        <f t="shared" ref="BW32:BW37" si="99">BV32/CB32-1</f>
        <v>7.5879170049853339E-2</v>
      </c>
      <c r="BX32" s="390">
        <f>[1]BILANS!G30</f>
        <v>198294879.11000001</v>
      </c>
      <c r="BY32" s="440">
        <f t="shared" ref="BY32:BY37" si="100">(BX32/CC32)-1</f>
        <v>3.355609014226868E-2</v>
      </c>
      <c r="BZ32" s="58">
        <f>[1]BILANS!H30</f>
        <v>192729857.56999999</v>
      </c>
      <c r="CA32" s="47">
        <f>[1]BILANS!I30</f>
        <v>198201881.10999998</v>
      </c>
      <c r="CB32" s="58">
        <f>[1]BILANS!J30</f>
        <v>187423674.78</v>
      </c>
      <c r="CC32" s="390">
        <v>191856911.29999998</v>
      </c>
      <c r="CD32" s="446">
        <v>188075713.99999997</v>
      </c>
      <c r="CE32" s="47">
        <v>200146118.90999997</v>
      </c>
      <c r="CF32" s="23">
        <v>188270565.07000002</v>
      </c>
      <c r="CG32" s="442">
        <v>186469399.14999998</v>
      </c>
      <c r="CH32" s="23">
        <v>186252222.64999998</v>
      </c>
      <c r="CI32" s="47">
        <v>189289321.5</v>
      </c>
      <c r="CJ32" s="23">
        <v>184787538.11000001</v>
      </c>
      <c r="CK32" s="441">
        <v>185462175.36999997</v>
      </c>
      <c r="CL32" s="23">
        <v>186773795.82999998</v>
      </c>
      <c r="CM32" s="47">
        <v>185230754.91</v>
      </c>
      <c r="CN32" s="23">
        <v>182075629.93000001</v>
      </c>
      <c r="CO32" s="47">
        <v>181982663.10000002</v>
      </c>
      <c r="CP32" s="388"/>
      <c r="CQ32" s="394"/>
      <c r="CR32" s="388"/>
      <c r="CS32" s="394"/>
      <c r="CT32" s="388"/>
      <c r="CU32" s="394"/>
      <c r="CV32" s="388"/>
      <c r="CW32" s="394"/>
      <c r="CX32" s="388"/>
      <c r="CY32" s="394"/>
      <c r="CZ32" s="1"/>
      <c r="DA32" s="1"/>
      <c r="DB32" s="398"/>
      <c r="DC32" s="399"/>
      <c r="DD32" s="398"/>
      <c r="DE32" s="399"/>
      <c r="DF32" s="398"/>
      <c r="DG32" s="399"/>
      <c r="DH32" s="398"/>
      <c r="DI32" s="399"/>
      <c r="DJ32" s="398"/>
      <c r="DK32" s="399"/>
      <c r="DL32" s="398"/>
      <c r="DM32" s="399"/>
      <c r="DN32" s="398"/>
      <c r="DO32" s="399"/>
      <c r="DP32" s="398"/>
      <c r="DQ32" s="399"/>
      <c r="DR32" s="398"/>
      <c r="DS32" s="399"/>
      <c r="DT32" s="398"/>
      <c r="DU32" s="399"/>
      <c r="DV32" s="398"/>
      <c r="DW32" s="399"/>
      <c r="DX32" s="1"/>
      <c r="DY32" s="1"/>
    </row>
    <row r="33" spans="1:129" ht="27.9" customHeight="1">
      <c r="A33" s="432" t="s">
        <v>9</v>
      </c>
      <c r="B33" s="58">
        <v>183530938.25</v>
      </c>
      <c r="C33" s="392">
        <f t="shared" si="66"/>
        <v>1.1879650635644445E-3</v>
      </c>
      <c r="D33" s="390">
        <v>183560900.91999999</v>
      </c>
      <c r="E33" s="440">
        <f t="shared" ref="E33:E37" si="101">(D33/L33)-1</f>
        <v>2.6615099100975037E-3</v>
      </c>
      <c r="F33" s="58">
        <v>183269537.97999999</v>
      </c>
      <c r="G33" s="392">
        <f t="shared" si="67"/>
        <v>1.5073816479189706E-3</v>
      </c>
      <c r="H33" s="390">
        <v>183020701.74000001</v>
      </c>
      <c r="I33" s="493">
        <f t="shared" si="68"/>
        <v>-4.2922438559658271E-2</v>
      </c>
      <c r="J33" s="58">
        <v>183313168.61000001</v>
      </c>
      <c r="K33" s="392">
        <f t="shared" si="69"/>
        <v>-4.1048797806443216E-2</v>
      </c>
      <c r="L33" s="390">
        <v>183073648.59</v>
      </c>
      <c r="M33" s="440">
        <f t="shared" ref="M33:M37" si="102">(L33/T33)-1</f>
        <v>-2.5642996668126306E-2</v>
      </c>
      <c r="N33" s="58">
        <f t="shared" si="70"/>
        <v>182993696.64000002</v>
      </c>
      <c r="O33" s="392">
        <f t="shared" si="71"/>
        <v>-6.4431293117555022E-3</v>
      </c>
      <c r="P33" s="390">
        <v>191228704.03999999</v>
      </c>
      <c r="Q33" s="493">
        <f t="shared" si="72"/>
        <v>2.4615672124657983E-2</v>
      </c>
      <c r="R33" s="58">
        <v>191160059.22999999</v>
      </c>
      <c r="S33" s="392">
        <f t="shared" si="73"/>
        <v>2.9993666355598636E-2</v>
      </c>
      <c r="T33" s="390">
        <v>187891756.27000001</v>
      </c>
      <c r="U33" s="440">
        <f t="shared" ref="U33:U37" si="103">(T33/AB33)-1</f>
        <v>1.2613902400399057E-2</v>
      </c>
      <c r="V33" s="58">
        <f t="shared" si="74"/>
        <v>184180394.74000001</v>
      </c>
      <c r="W33" s="392">
        <f t="shared" si="75"/>
        <v>-7.4559634519412166E-3</v>
      </c>
      <c r="X33" s="390">
        <v>186634568.69</v>
      </c>
      <c r="Y33" s="493">
        <f t="shared" si="76"/>
        <v>-2.3050076488052573E-3</v>
      </c>
      <c r="Z33" s="58">
        <v>185593431.75999999</v>
      </c>
      <c r="AA33" s="392">
        <f t="shared" si="77"/>
        <v>-4.827008572142133E-3</v>
      </c>
      <c r="AB33" s="390">
        <v>185551231.15000001</v>
      </c>
      <c r="AC33" s="440">
        <f t="shared" si="78"/>
        <v>-2.036302945986479E-2</v>
      </c>
      <c r="AD33" s="58">
        <f t="shared" si="79"/>
        <v>185563952.78999999</v>
      </c>
      <c r="AE33" s="392">
        <f t="shared" si="80"/>
        <v>-1.02557773778581E-2</v>
      </c>
      <c r="AF33" s="390">
        <v>187065756.69</v>
      </c>
      <c r="AG33" s="493">
        <f t="shared" si="81"/>
        <v>2.542236980218826E-3</v>
      </c>
      <c r="AH33" s="58">
        <v>186493638.15000001</v>
      </c>
      <c r="AI33" s="392">
        <f t="shared" si="82"/>
        <v>4.7609970332165297E-3</v>
      </c>
      <c r="AJ33" s="390">
        <v>189408154.99000001</v>
      </c>
      <c r="AK33" s="440">
        <f t="shared" si="83"/>
        <v>2.630659750940989E-2</v>
      </c>
      <c r="AL33" s="58">
        <f t="shared" si="84"/>
        <v>187486775.41999999</v>
      </c>
      <c r="AM33" s="392">
        <f t="shared" si="85"/>
        <v>2.3848416243176018E-2</v>
      </c>
      <c r="AN33" s="390">
        <v>186591397.13999999</v>
      </c>
      <c r="AO33" s="493">
        <f t="shared" si="86"/>
        <v>3.34315408211312E-2</v>
      </c>
      <c r="AP33" s="58">
        <v>185609949.72999999</v>
      </c>
      <c r="AQ33" s="392">
        <f t="shared" ref="AQ33:AQ37" si="104">(AP33/AX33)-1</f>
        <v>3.6109516693262123E-2</v>
      </c>
      <c r="AR33" s="390">
        <v>184553188.53999999</v>
      </c>
      <c r="AS33" s="440">
        <f t="shared" si="87"/>
        <v>2.5468969448981582E-2</v>
      </c>
      <c r="AT33" s="58">
        <f t="shared" si="88"/>
        <v>183119661.50999999</v>
      </c>
      <c r="AU33" s="392">
        <f t="shared" si="89"/>
        <v>1.7376508652000133E-2</v>
      </c>
      <c r="AV33" s="390">
        <v>180555159.94</v>
      </c>
      <c r="AW33" s="493">
        <f t="shared" si="90"/>
        <v>-2.3068299912306189E-2</v>
      </c>
      <c r="AX33" s="58">
        <v>179141245.91999999</v>
      </c>
      <c r="AY33" s="392">
        <f t="shared" si="91"/>
        <v>-2.0365137100873287E-2</v>
      </c>
      <c r="AZ33" s="390">
        <v>179969549.58000001</v>
      </c>
      <c r="BA33" s="440">
        <f t="shared" si="92"/>
        <v>1.2199830205896767E-2</v>
      </c>
      <c r="BB33" s="58">
        <f t="shared" si="93"/>
        <v>179992028.47</v>
      </c>
      <c r="BC33" s="455">
        <f t="shared" ref="BC33:BC37" si="105">(BB33/BJ33)-1</f>
        <v>3.164153273045045E-2</v>
      </c>
      <c r="BD33" s="390">
        <v>184818611.09</v>
      </c>
      <c r="BE33" s="440">
        <f t="shared" si="56"/>
        <v>9.3537939159564765E-2</v>
      </c>
      <c r="BF33" s="58">
        <v>182865323.30000001</v>
      </c>
      <c r="BG33" s="392">
        <f t="shared" si="94"/>
        <v>9.2269083586410394E-2</v>
      </c>
      <c r="BH33" s="390">
        <v>177800414.70999998</v>
      </c>
      <c r="BI33" s="440">
        <f t="shared" si="94"/>
        <v>5.6570501649264138E-2</v>
      </c>
      <c r="BJ33" s="58">
        <f t="shared" si="95"/>
        <v>174471483.31999999</v>
      </c>
      <c r="BK33" s="392">
        <f t="shared" ref="BK33:BK37" si="106">(BJ33/BR33)-1</f>
        <v>4.1267481637230041E-2</v>
      </c>
      <c r="BL33" s="47">
        <v>169009784.18000001</v>
      </c>
      <c r="BM33" s="391">
        <f>(BL33/BT33)-1</f>
        <v>1.534377498973627E-2</v>
      </c>
      <c r="BN33" s="451">
        <f>[1]BILANS!B17</f>
        <v>167417833.25000003</v>
      </c>
      <c r="BO33" s="443">
        <f t="shared" si="96"/>
        <v>6.9637585225847953E-3</v>
      </c>
      <c r="BP33" s="390">
        <v>168280691.56999999</v>
      </c>
      <c r="BQ33" s="440">
        <f t="shared" si="97"/>
        <v>1.2044171332866949E-2</v>
      </c>
      <c r="BR33" s="58">
        <v>167556834.72</v>
      </c>
      <c r="BS33" s="392">
        <f t="shared" ref="BS33:BS37" si="107">(BR33/BZ33)-1</f>
        <v>7.8621516665324798E-3</v>
      </c>
      <c r="BT33" s="47">
        <f>[1]BILANS!E17</f>
        <v>166455724.99000001</v>
      </c>
      <c r="BU33" s="391">
        <f t="shared" si="98"/>
        <v>5.2951810993451254E-3</v>
      </c>
      <c r="BV33" s="58">
        <f>[1]BILANS!F17</f>
        <v>166260038.49000001</v>
      </c>
      <c r="BW33" s="443">
        <f t="shared" si="99"/>
        <v>6.6667244025562233E-3</v>
      </c>
      <c r="BX33" s="390">
        <f>[1]BILANS!G17</f>
        <v>166278010.72000003</v>
      </c>
      <c r="BY33" s="440">
        <f t="shared" si="100"/>
        <v>6.9849934885255482E-3</v>
      </c>
      <c r="BZ33" s="58">
        <f>[1]BILANS!H17</f>
        <v>166249753.94</v>
      </c>
      <c r="CA33" s="47">
        <f>[1]BILANS!I17</f>
        <v>165578954.44</v>
      </c>
      <c r="CB33" s="58">
        <f>[1]BILANS!J17</f>
        <v>165158969.16</v>
      </c>
      <c r="CC33" s="390">
        <v>165124616.34999999</v>
      </c>
      <c r="CD33" s="446">
        <v>165974286.54999998</v>
      </c>
      <c r="CE33" s="47">
        <v>165991172.73999998</v>
      </c>
      <c r="CF33" s="23">
        <v>164997773.30000001</v>
      </c>
      <c r="CG33" s="442">
        <v>163755757.07999998</v>
      </c>
      <c r="CH33" s="23">
        <v>164846388.01999998</v>
      </c>
      <c r="CI33" s="47">
        <v>167473399.36000001</v>
      </c>
      <c r="CJ33" s="23">
        <v>166186062.62</v>
      </c>
      <c r="CK33" s="441">
        <v>165674673.41999999</v>
      </c>
      <c r="CL33" s="23">
        <v>166526599.63</v>
      </c>
      <c r="CM33" s="47">
        <v>163474726.97999999</v>
      </c>
      <c r="CN33" s="23">
        <v>163617886.59999999</v>
      </c>
      <c r="CO33" s="47">
        <v>164030476.55000001</v>
      </c>
      <c r="CP33" s="388"/>
      <c r="CQ33" s="394"/>
      <c r="CR33" s="388"/>
      <c r="CS33" s="394"/>
      <c r="CT33" s="388"/>
      <c r="CU33" s="394"/>
      <c r="CV33" s="388"/>
      <c r="CW33" s="394"/>
      <c r="CX33" s="388"/>
      <c r="CY33" s="394"/>
      <c r="CZ33" s="1"/>
      <c r="DA33" s="1"/>
      <c r="DB33" s="398"/>
      <c r="DC33" s="399"/>
      <c r="DD33" s="398"/>
      <c r="DE33" s="399"/>
      <c r="DF33" s="398"/>
      <c r="DG33" s="399"/>
      <c r="DH33" s="398"/>
      <c r="DI33" s="399"/>
      <c r="DJ33" s="398"/>
      <c r="DK33" s="399"/>
      <c r="DL33" s="398"/>
      <c r="DM33" s="399"/>
      <c r="DN33" s="398"/>
      <c r="DO33" s="399"/>
      <c r="DP33" s="398"/>
      <c r="DQ33" s="399"/>
      <c r="DR33" s="398"/>
      <c r="DS33" s="399"/>
      <c r="DT33" s="398"/>
      <c r="DU33" s="399"/>
      <c r="DV33" s="398"/>
      <c r="DW33" s="399"/>
      <c r="DX33" s="1"/>
      <c r="DY33" s="1"/>
    </row>
    <row r="34" spans="1:129" ht="27.9" customHeight="1">
      <c r="A34" s="432" t="s">
        <v>10</v>
      </c>
      <c r="B34" s="58">
        <v>117696580.25</v>
      </c>
      <c r="C34" s="392">
        <f t="shared" si="66"/>
        <v>0.19050338206100426</v>
      </c>
      <c r="D34" s="390">
        <v>190804814.56999999</v>
      </c>
      <c r="E34" s="440">
        <f t="shared" si="101"/>
        <v>0.76551651592450609</v>
      </c>
      <c r="F34" s="58">
        <v>226577725.85000002</v>
      </c>
      <c r="G34" s="392">
        <f t="shared" si="67"/>
        <v>1.0760732784589404</v>
      </c>
      <c r="H34" s="390">
        <v>77928616.510000005</v>
      </c>
      <c r="I34" s="493">
        <f t="shared" si="68"/>
        <v>6.3321318968604157E-2</v>
      </c>
      <c r="J34" s="58">
        <v>98862869.290000007</v>
      </c>
      <c r="K34" s="392">
        <f t="shared" si="69"/>
        <v>0.92380848177544994</v>
      </c>
      <c r="L34" s="390">
        <v>108073083.91</v>
      </c>
      <c r="M34" s="440">
        <f t="shared" si="102"/>
        <v>1.3916311985602503</v>
      </c>
      <c r="N34" s="58">
        <f t="shared" si="70"/>
        <v>109137634.11000001</v>
      </c>
      <c r="O34" s="392">
        <f t="shared" si="71"/>
        <v>1.8466815506371428</v>
      </c>
      <c r="P34" s="390">
        <v>73287928.230000004</v>
      </c>
      <c r="Q34" s="493">
        <f t="shared" si="72"/>
        <v>0.70051806045260601</v>
      </c>
      <c r="R34" s="58">
        <v>51389143.060000002</v>
      </c>
      <c r="S34" s="392">
        <f t="shared" si="73"/>
        <v>0.47565115466514185</v>
      </c>
      <c r="T34" s="390">
        <v>45188022.289999999</v>
      </c>
      <c r="U34" s="440">
        <f t="shared" si="103"/>
        <v>0.55717069634277649</v>
      </c>
      <c r="V34" s="58">
        <f t="shared" si="74"/>
        <v>38338546.890000001</v>
      </c>
      <c r="W34" s="392">
        <f t="shared" si="75"/>
        <v>6.5396768719426124E-2</v>
      </c>
      <c r="X34" s="390">
        <v>43097412.450000003</v>
      </c>
      <c r="Y34" s="493">
        <f t="shared" si="76"/>
        <v>0.14769650634396747</v>
      </c>
      <c r="Z34" s="58">
        <v>34824723.240000002</v>
      </c>
      <c r="AA34" s="392">
        <f t="shared" si="77"/>
        <v>0.13654402368878249</v>
      </c>
      <c r="AB34" s="390">
        <v>29019312.010000002</v>
      </c>
      <c r="AC34" s="440">
        <f t="shared" si="78"/>
        <v>1.8456756128122143E-2</v>
      </c>
      <c r="AD34" s="58">
        <f t="shared" si="79"/>
        <v>35985229.18</v>
      </c>
      <c r="AE34" s="392">
        <f t="shared" si="80"/>
        <v>-2.1278120203113593E-2</v>
      </c>
      <c r="AF34" s="390">
        <v>37551227.359999999</v>
      </c>
      <c r="AG34" s="493">
        <f t="shared" si="81"/>
        <v>0.34211261694032502</v>
      </c>
      <c r="AH34" s="58">
        <v>30640892.490000002</v>
      </c>
      <c r="AI34" s="392">
        <f t="shared" si="82"/>
        <v>-7.1471441305079875E-3</v>
      </c>
      <c r="AJ34" s="390">
        <v>28493415.98</v>
      </c>
      <c r="AK34" s="440">
        <f t="shared" si="83"/>
        <v>0.13236476386184326</v>
      </c>
      <c r="AL34" s="58">
        <f t="shared" si="84"/>
        <v>36767574.039999999</v>
      </c>
      <c r="AM34" s="392">
        <f t="shared" si="85"/>
        <v>0.27634896775646944</v>
      </c>
      <c r="AN34" s="390">
        <v>27979192.57</v>
      </c>
      <c r="AO34" s="493">
        <f t="shared" si="86"/>
        <v>-0.12003516807029724</v>
      </c>
      <c r="AP34" s="58">
        <v>30861463.82</v>
      </c>
      <c r="AQ34" s="392">
        <f t="shared" si="104"/>
        <v>-5.3282162927050458E-2</v>
      </c>
      <c r="AR34" s="390">
        <v>25162753.989999998</v>
      </c>
      <c r="AS34" s="440">
        <f t="shared" si="87"/>
        <v>-7.0583198902637645E-2</v>
      </c>
      <c r="AT34" s="58">
        <f t="shared" si="88"/>
        <v>28806834.940000001</v>
      </c>
      <c r="AU34" s="392">
        <f t="shared" si="89"/>
        <v>-0.13318661401861476</v>
      </c>
      <c r="AV34" s="390">
        <v>31795807.690000001</v>
      </c>
      <c r="AW34" s="493">
        <f t="shared" si="90"/>
        <v>0.11710281102044018</v>
      </c>
      <c r="AX34" s="58">
        <v>32598375.789999999</v>
      </c>
      <c r="AY34" s="392">
        <f t="shared" si="91"/>
        <v>0.1674184042934026</v>
      </c>
      <c r="AZ34" s="390">
        <v>27073702.52</v>
      </c>
      <c r="BA34" s="440">
        <f t="shared" si="92"/>
        <v>0.12762337521884737</v>
      </c>
      <c r="BB34" s="58">
        <f t="shared" si="93"/>
        <v>33233029.629999999</v>
      </c>
      <c r="BC34" s="455">
        <f t="shared" si="105"/>
        <v>0.33146611746555465</v>
      </c>
      <c r="BD34" s="390">
        <v>28462740.739999998</v>
      </c>
      <c r="BE34" s="440">
        <f t="shared" si="56"/>
        <v>-0.29275234966598196</v>
      </c>
      <c r="BF34" s="58">
        <v>27923472.57</v>
      </c>
      <c r="BG34" s="392">
        <f t="shared" si="94"/>
        <v>-3.3126473430085346E-2</v>
      </c>
      <c r="BH34" s="390">
        <v>24009525.800000004</v>
      </c>
      <c r="BI34" s="440">
        <f t="shared" si="94"/>
        <v>-0.17841714327965386</v>
      </c>
      <c r="BJ34" s="58">
        <f t="shared" si="95"/>
        <v>24959726.120000005</v>
      </c>
      <c r="BK34" s="392">
        <f t="shared" si="106"/>
        <v>-0.21669342418149029</v>
      </c>
      <c r="BL34" s="47">
        <v>40244376.529999994</v>
      </c>
      <c r="BM34" s="391">
        <f t="shared" ref="BM34:BM37" si="108">(BL34/BT34)-1</f>
        <v>0.16754940735997215</v>
      </c>
      <c r="BN34" s="451">
        <f>[1]BILANS!B29</f>
        <v>28880170.779999997</v>
      </c>
      <c r="BO34" s="443">
        <f t="shared" si="96"/>
        <v>-0.18383449546955344</v>
      </c>
      <c r="BP34" s="390">
        <v>29223499.009999998</v>
      </c>
      <c r="BQ34" s="440">
        <f t="shared" si="97"/>
        <v>-8.724680209112734E-2</v>
      </c>
      <c r="BR34" s="58">
        <v>31864568.600000001</v>
      </c>
      <c r="BS34" s="392">
        <f t="shared" si="107"/>
        <v>0.20334002635472315</v>
      </c>
      <c r="BT34" s="47">
        <f>[1]BILANS!E29</f>
        <v>34469099.359999999</v>
      </c>
      <c r="BU34" s="391">
        <f t="shared" si="98"/>
        <v>5.6591265053412165E-2</v>
      </c>
      <c r="BV34" s="58">
        <f>[1]BILANS!F29</f>
        <v>35385189.18</v>
      </c>
      <c r="BW34" s="443">
        <f t="shared" si="99"/>
        <v>0.58929517344321392</v>
      </c>
      <c r="BX34" s="390">
        <f>[1]BILANS!G29</f>
        <v>32016868.389999997</v>
      </c>
      <c r="BY34" s="440">
        <f t="shared" si="100"/>
        <v>0.19768498925678668</v>
      </c>
      <c r="BZ34" s="58">
        <f>[1]BILANS!H29</f>
        <v>26480103.630000003</v>
      </c>
      <c r="CA34" s="47">
        <f>[1]BILANS!I29</f>
        <v>32622926.669999998</v>
      </c>
      <c r="CB34" s="58">
        <f>[1]BILANS!J29</f>
        <v>22264705.620000001</v>
      </c>
      <c r="CC34" s="390">
        <v>26732294.949999996</v>
      </c>
      <c r="CD34" s="446">
        <v>22101427.449999996</v>
      </c>
      <c r="CE34" s="47">
        <v>34154946.170000002</v>
      </c>
      <c r="CF34" s="23">
        <v>23272791.77</v>
      </c>
      <c r="CG34" s="442">
        <v>22713642.07</v>
      </c>
      <c r="CH34" s="23">
        <v>21405834.630000003</v>
      </c>
      <c r="CI34" s="47">
        <v>21815922.140000001</v>
      </c>
      <c r="CJ34" s="23">
        <v>18601475.490000002</v>
      </c>
      <c r="CK34" s="441">
        <v>19787501.949999999</v>
      </c>
      <c r="CL34" s="23">
        <v>20247196.200000003</v>
      </c>
      <c r="CM34" s="47">
        <v>21756027.930000003</v>
      </c>
      <c r="CN34" s="23">
        <v>18457743.330000002</v>
      </c>
      <c r="CO34" s="47">
        <v>17952186.550000004</v>
      </c>
      <c r="CP34" s="388"/>
      <c r="CQ34" s="394"/>
      <c r="CR34" s="388"/>
      <c r="CS34" s="394"/>
      <c r="CT34" s="388"/>
      <c r="CU34" s="394"/>
      <c r="CV34" s="388"/>
      <c r="CW34" s="394"/>
      <c r="CX34" s="388"/>
      <c r="CY34" s="394"/>
      <c r="CZ34" s="1"/>
      <c r="DA34" s="1"/>
      <c r="DB34" s="398"/>
      <c r="DC34" s="399"/>
      <c r="DD34" s="398"/>
      <c r="DE34" s="399"/>
      <c r="DF34" s="398"/>
      <c r="DG34" s="399"/>
      <c r="DH34" s="398"/>
      <c r="DI34" s="399"/>
      <c r="DJ34" s="398"/>
      <c r="DK34" s="399"/>
      <c r="DL34" s="398"/>
      <c r="DM34" s="399"/>
      <c r="DN34" s="398"/>
      <c r="DO34" s="399"/>
      <c r="DP34" s="398"/>
      <c r="DQ34" s="399"/>
      <c r="DR34" s="398"/>
      <c r="DS34" s="399"/>
      <c r="DT34" s="398"/>
      <c r="DU34" s="399"/>
      <c r="DV34" s="398"/>
      <c r="DW34" s="399"/>
      <c r="DX34" s="1"/>
      <c r="DY34" s="1"/>
    </row>
    <row r="35" spans="1:129" ht="27.9" customHeight="1">
      <c r="A35" s="432" t="s">
        <v>11</v>
      </c>
      <c r="B35" s="58">
        <v>255966245.53999999</v>
      </c>
      <c r="C35" s="392">
        <f t="shared" si="66"/>
        <v>0.30579456950901784</v>
      </c>
      <c r="D35" s="390">
        <v>229089509.16999999</v>
      </c>
      <c r="E35" s="440">
        <f t="shared" si="101"/>
        <v>0.18635273449310774</v>
      </c>
      <c r="F35" s="58">
        <v>226989069.55999997</v>
      </c>
      <c r="G35" s="392">
        <f t="shared" si="67"/>
        <v>0.1818243496479981</v>
      </c>
      <c r="H35" s="390">
        <v>213242923.80000001</v>
      </c>
      <c r="I35" s="493">
        <f t="shared" si="68"/>
        <v>0.29797550310844323</v>
      </c>
      <c r="J35" s="58">
        <v>196023365.02000001</v>
      </c>
      <c r="K35" s="392">
        <f t="shared" si="69"/>
        <v>0.16677150477070435</v>
      </c>
      <c r="L35" s="390">
        <v>193104042.75999999</v>
      </c>
      <c r="M35" s="440">
        <f t="shared" si="102"/>
        <v>0.12462612524605277</v>
      </c>
      <c r="N35" s="58">
        <f t="shared" si="70"/>
        <v>192066671.86000001</v>
      </c>
      <c r="O35" s="392">
        <f t="shared" si="71"/>
        <v>9.6138741749889123E-2</v>
      </c>
      <c r="P35" s="390">
        <v>164288866.23000002</v>
      </c>
      <c r="Q35" s="493">
        <f t="shared" si="72"/>
        <v>-4.2944739418408595E-2</v>
      </c>
      <c r="R35" s="58">
        <v>168004930.03</v>
      </c>
      <c r="S35" s="392">
        <f t="shared" si="73"/>
        <v>-4.1019944117708484E-2</v>
      </c>
      <c r="T35" s="390">
        <v>171705101.30000001</v>
      </c>
      <c r="U35" s="440">
        <f t="shared" si="103"/>
        <v>-3.0229479239226698E-2</v>
      </c>
      <c r="V35" s="58">
        <f t="shared" si="74"/>
        <v>175221132.63999999</v>
      </c>
      <c r="W35" s="392">
        <f t="shared" si="75"/>
        <v>-1.9611834365427239E-3</v>
      </c>
      <c r="X35" s="390">
        <v>171660794.31</v>
      </c>
      <c r="Y35" s="493">
        <f t="shared" si="76"/>
        <v>1.7065698140397156E-3</v>
      </c>
      <c r="Z35" s="58">
        <v>175191265.97</v>
      </c>
      <c r="AA35" s="392">
        <f t="shared" si="77"/>
        <v>4.2458713349164956E-3</v>
      </c>
      <c r="AB35" s="390">
        <v>177057455.99000001</v>
      </c>
      <c r="AC35" s="440">
        <f t="shared" si="78"/>
        <v>2.6625342053290257E-3</v>
      </c>
      <c r="AD35" s="58">
        <f t="shared" si="79"/>
        <v>175565448.69</v>
      </c>
      <c r="AE35" s="392">
        <f t="shared" si="80"/>
        <v>-1.7510138148833176E-2</v>
      </c>
      <c r="AF35" s="390">
        <v>171368342.27000001</v>
      </c>
      <c r="AG35" s="493">
        <f t="shared" si="81"/>
        <v>-1.7287503560823869E-2</v>
      </c>
      <c r="AH35" s="58">
        <v>174450571.28999999</v>
      </c>
      <c r="AI35" s="392">
        <f t="shared" si="82"/>
        <v>-3.4586560109642894E-3</v>
      </c>
      <c r="AJ35" s="390">
        <v>176587286.30000001</v>
      </c>
      <c r="AK35" s="440">
        <f t="shared" si="83"/>
        <v>2.9103709656438159E-2</v>
      </c>
      <c r="AL35" s="58">
        <f t="shared" si="84"/>
        <v>178694412.53999999</v>
      </c>
      <c r="AM35" s="392">
        <f t="shared" si="85"/>
        <v>2.5927706633945391E-2</v>
      </c>
      <c r="AN35" s="390">
        <v>174382988.81</v>
      </c>
      <c r="AO35" s="493">
        <f t="shared" si="86"/>
        <v>6.7499169386957547E-3</v>
      </c>
      <c r="AP35" s="58">
        <v>175056029.88</v>
      </c>
      <c r="AQ35" s="392">
        <f t="shared" si="104"/>
        <v>-2.7915779080438519E-3</v>
      </c>
      <c r="AR35" s="390">
        <v>171593285.15000001</v>
      </c>
      <c r="AS35" s="440">
        <f t="shared" si="87"/>
        <v>2.6944705074094522E-4</v>
      </c>
      <c r="AT35" s="58">
        <f t="shared" si="88"/>
        <v>174178366.94</v>
      </c>
      <c r="AU35" s="392">
        <f t="shared" si="89"/>
        <v>2.1154753394271975E-2</v>
      </c>
      <c r="AV35" s="390">
        <v>173213809.97999999</v>
      </c>
      <c r="AW35" s="493">
        <f t="shared" si="90"/>
        <v>6.06271298420753E-2</v>
      </c>
      <c r="AX35" s="58">
        <v>175546080.44</v>
      </c>
      <c r="AY35" s="392">
        <f t="shared" si="91"/>
        <v>6.1101864989422383E-2</v>
      </c>
      <c r="AZ35" s="390">
        <v>171547062.30000001</v>
      </c>
      <c r="BA35" s="440">
        <f t="shared" si="92"/>
        <v>2.6484601433172772E-2</v>
      </c>
      <c r="BB35" s="58">
        <f t="shared" si="93"/>
        <v>170570000.63999999</v>
      </c>
      <c r="BC35" s="455">
        <f t="shared" si="105"/>
        <v>7.5128943262303682E-3</v>
      </c>
      <c r="BD35" s="390">
        <v>163312633.72999999</v>
      </c>
      <c r="BE35" s="440">
        <f t="shared" si="56"/>
        <v>-3.3472368459216972E-2</v>
      </c>
      <c r="BF35" s="58">
        <v>165437538.31</v>
      </c>
      <c r="BG35" s="392">
        <f t="shared" si="94"/>
        <v>-2.5070334742278155E-2</v>
      </c>
      <c r="BH35" s="390">
        <v>167120931.05000001</v>
      </c>
      <c r="BI35" s="440">
        <f t="shared" si="94"/>
        <v>-2.9501478502735434E-2</v>
      </c>
      <c r="BJ35" s="58">
        <f t="shared" si="95"/>
        <v>169298082.03999999</v>
      </c>
      <c r="BK35" s="392">
        <f t="shared" si="106"/>
        <v>-2.3367434007507293E-2</v>
      </c>
      <c r="BL35" s="47">
        <v>168968406.49000001</v>
      </c>
      <c r="BM35" s="391">
        <f t="shared" si="108"/>
        <v>-7.0606874464068659E-3</v>
      </c>
      <c r="BN35" s="451">
        <f>[1]BILANS!B37</f>
        <v>169691767.73000002</v>
      </c>
      <c r="BO35" s="443">
        <f t="shared" si="96"/>
        <v>-1.0325922720621605E-2</v>
      </c>
      <c r="BP35" s="390">
        <v>172201118.64999998</v>
      </c>
      <c r="BQ35" s="440">
        <f t="shared" si="97"/>
        <v>1.732210946384094E-2</v>
      </c>
      <c r="BR35" s="58">
        <v>173348798.65279996</v>
      </c>
      <c r="BS35" s="392">
        <f t="shared" si="107"/>
        <v>1.9286179839219653E-2</v>
      </c>
      <c r="BT35" s="47">
        <f>[1]BILANS!E37</f>
        <v>170169923.13000003</v>
      </c>
      <c r="BU35" s="391">
        <f t="shared" si="98"/>
        <v>2.0093877930220216E-2</v>
      </c>
      <c r="BV35" s="58">
        <f>[1]BILANS!F37</f>
        <v>171462273.91999999</v>
      </c>
      <c r="BW35" s="443">
        <f t="shared" si="99"/>
        <v>3.6636681966197626E-2</v>
      </c>
      <c r="BX35" s="390">
        <f>[1]BILANS!G37</f>
        <v>169269022.12</v>
      </c>
      <c r="BY35" s="440">
        <f t="shared" si="100"/>
        <v>1.7241950184562649E-2</v>
      </c>
      <c r="BZ35" s="58">
        <f>[1]BILANS!H37</f>
        <v>170068820.79000002</v>
      </c>
      <c r="CA35" s="47">
        <f>[1]BILANS!I37</f>
        <v>166817904.52000001</v>
      </c>
      <c r="CB35" s="58">
        <f>[1]BILANS!J37</f>
        <v>165402476.00999999</v>
      </c>
      <c r="CC35" s="390">
        <v>166399962.25999999</v>
      </c>
      <c r="CD35" s="446">
        <v>167308988.51999998</v>
      </c>
      <c r="CE35" s="47">
        <v>164365678.73000002</v>
      </c>
      <c r="CF35" s="23">
        <v>163009526.87</v>
      </c>
      <c r="CG35" s="442">
        <v>164064291.62</v>
      </c>
      <c r="CH35" s="23">
        <v>163695327.56</v>
      </c>
      <c r="CI35" s="47">
        <v>163200033.40000001</v>
      </c>
      <c r="CJ35" s="23">
        <v>161697721.34999999</v>
      </c>
      <c r="CK35" s="441">
        <v>162975554.23999998</v>
      </c>
      <c r="CL35" s="23">
        <v>164460515.09999999</v>
      </c>
      <c r="CM35" s="47">
        <v>159870250.88999999</v>
      </c>
      <c r="CN35" s="23">
        <v>159465383.82000002</v>
      </c>
      <c r="CO35" s="47">
        <v>160835216.31</v>
      </c>
      <c r="CP35" s="388"/>
      <c r="CQ35" s="394"/>
      <c r="CR35" s="388"/>
      <c r="CS35" s="394"/>
      <c r="CT35" s="388"/>
      <c r="CU35" s="394"/>
      <c r="CV35" s="388"/>
      <c r="CW35" s="394"/>
      <c r="CX35" s="388"/>
      <c r="CY35" s="394"/>
      <c r="CZ35" s="1"/>
      <c r="DA35" s="1"/>
      <c r="DB35" s="398"/>
      <c r="DC35" s="399"/>
      <c r="DD35" s="398"/>
      <c r="DE35" s="399"/>
      <c r="DF35" s="398"/>
      <c r="DG35" s="399"/>
      <c r="DH35" s="398"/>
      <c r="DI35" s="399"/>
      <c r="DJ35" s="398"/>
      <c r="DK35" s="399"/>
      <c r="DL35" s="398"/>
      <c r="DM35" s="399"/>
      <c r="DN35" s="398"/>
      <c r="DO35" s="399"/>
      <c r="DP35" s="398"/>
      <c r="DQ35" s="399"/>
      <c r="DR35" s="398"/>
      <c r="DS35" s="399"/>
      <c r="DT35" s="398"/>
      <c r="DU35" s="399"/>
      <c r="DV35" s="398"/>
      <c r="DW35" s="399"/>
      <c r="DX35" s="1"/>
      <c r="DY35" s="1"/>
    </row>
    <row r="36" spans="1:129" ht="27.9" customHeight="1">
      <c r="A36" s="432" t="s">
        <v>12</v>
      </c>
      <c r="B36" s="58">
        <v>7085031.4000000004</v>
      </c>
      <c r="C36" s="392">
        <f t="shared" si="66"/>
        <v>-0.38961952065692018</v>
      </c>
      <c r="D36" s="390">
        <v>7213961.0199999996</v>
      </c>
      <c r="E36" s="440">
        <f t="shared" si="101"/>
        <v>-0.33519541551156595</v>
      </c>
      <c r="F36" s="58">
        <v>7334652.2199999997</v>
      </c>
      <c r="G36" s="392">
        <f t="shared" si="67"/>
        <v>-0.36727725041226689</v>
      </c>
      <c r="H36" s="390">
        <v>6919088.46</v>
      </c>
      <c r="I36" s="493">
        <f t="shared" si="68"/>
        <v>-0.48314381108841387</v>
      </c>
      <c r="J36" s="58">
        <v>11607565.51</v>
      </c>
      <c r="K36" s="392">
        <f t="shared" si="69"/>
        <v>-0.10647280548338456</v>
      </c>
      <c r="L36" s="390">
        <v>10851250.41</v>
      </c>
      <c r="M36" s="440">
        <f t="shared" si="102"/>
        <v>-0.17453834691901227</v>
      </c>
      <c r="N36" s="58">
        <f t="shared" si="70"/>
        <v>11592205.629999999</v>
      </c>
      <c r="O36" s="392">
        <f t="shared" si="71"/>
        <v>-0.1656104586363103</v>
      </c>
      <c r="P36" s="390">
        <v>13386873.579999998</v>
      </c>
      <c r="Q36" s="493">
        <f t="shared" si="72"/>
        <v>-0.10508275844897652</v>
      </c>
      <c r="R36" s="58">
        <v>12990724.380000001</v>
      </c>
      <c r="S36" s="392">
        <f t="shared" si="73"/>
        <v>-0.11423164334916036</v>
      </c>
      <c r="T36" s="390">
        <v>13145674.75</v>
      </c>
      <c r="U36" s="440">
        <f t="shared" si="103"/>
        <v>-0.12757497612770785</v>
      </c>
      <c r="V36" s="58">
        <f t="shared" si="74"/>
        <v>13893038.029999999</v>
      </c>
      <c r="W36" s="392">
        <f t="shared" si="75"/>
        <v>-0.11511410330370697</v>
      </c>
      <c r="X36" s="390">
        <v>14958783.85</v>
      </c>
      <c r="Y36" s="493">
        <f t="shared" si="76"/>
        <v>-0.14458021624964346</v>
      </c>
      <c r="Z36" s="58">
        <v>14666051.550000001</v>
      </c>
      <c r="AA36" s="392">
        <f t="shared" si="77"/>
        <v>-0.1257678044982431</v>
      </c>
      <c r="AB36" s="390">
        <v>15067970.76</v>
      </c>
      <c r="AC36" s="440">
        <f t="shared" si="78"/>
        <v>-7.4284976232887212E-2</v>
      </c>
      <c r="AD36" s="58">
        <f t="shared" si="79"/>
        <v>15700372.310000001</v>
      </c>
      <c r="AE36" s="392">
        <f t="shared" si="80"/>
        <v>-9.3230616646257092E-3</v>
      </c>
      <c r="AF36" s="390">
        <v>17487067.91</v>
      </c>
      <c r="AG36" s="493">
        <f t="shared" si="81"/>
        <v>2.5620481955732188E-2</v>
      </c>
      <c r="AH36" s="58">
        <v>16775922.49</v>
      </c>
      <c r="AI36" s="392">
        <f t="shared" si="82"/>
        <v>5.0663835444395122E-2</v>
      </c>
      <c r="AJ36" s="390">
        <v>16277115.93</v>
      </c>
      <c r="AK36" s="440">
        <f t="shared" si="83"/>
        <v>0.13425456363188304</v>
      </c>
      <c r="AL36" s="58">
        <f t="shared" si="84"/>
        <v>15848125.359999999</v>
      </c>
      <c r="AM36" s="392">
        <f t="shared" si="85"/>
        <v>9.7997551534711569E-2</v>
      </c>
      <c r="AN36" s="390">
        <v>17050232.73</v>
      </c>
      <c r="AO36" s="493">
        <f t="shared" si="86"/>
        <v>0.10538515348913613</v>
      </c>
      <c r="AP36" s="58">
        <v>15966974.33</v>
      </c>
      <c r="AQ36" s="392">
        <f t="shared" si="104"/>
        <v>3.6414351171001336E-2</v>
      </c>
      <c r="AR36" s="390">
        <v>14350496.310000001</v>
      </c>
      <c r="AS36" s="440">
        <f t="shared" si="87"/>
        <v>-5.8425156910546838E-2</v>
      </c>
      <c r="AT36" s="58">
        <f t="shared" si="88"/>
        <v>14433661.84</v>
      </c>
      <c r="AU36" s="392">
        <f t="shared" si="89"/>
        <v>-8.1899337847096465E-2</v>
      </c>
      <c r="AV36" s="390">
        <v>15424698.51</v>
      </c>
      <c r="AW36" s="493">
        <f t="shared" si="90"/>
        <v>2.1239976143367922E-2</v>
      </c>
      <c r="AX36" s="58">
        <v>15405975.720000001</v>
      </c>
      <c r="AY36" s="392">
        <f t="shared" si="91"/>
        <v>0.29576491614825073</v>
      </c>
      <c r="AZ36" s="390">
        <v>15240951.279999999</v>
      </c>
      <c r="BA36" s="440">
        <f t="shared" si="92"/>
        <v>0.68615996845581906</v>
      </c>
      <c r="BB36" s="58">
        <f t="shared" si="93"/>
        <v>15721219.289999999</v>
      </c>
      <c r="BC36" s="455">
        <f t="shared" si="105"/>
        <v>1.7727586441414527</v>
      </c>
      <c r="BD36" s="390">
        <v>15103892.199999999</v>
      </c>
      <c r="BE36" s="440">
        <f t="shared" si="56"/>
        <v>1.2517506401594303</v>
      </c>
      <c r="BF36" s="58">
        <v>11889483.6</v>
      </c>
      <c r="BG36" s="392">
        <f t="shared" si="94"/>
        <v>1.2186793054498408</v>
      </c>
      <c r="BH36" s="390">
        <v>9038852.5199999996</v>
      </c>
      <c r="BI36" s="440">
        <f t="shared" si="94"/>
        <v>0.94245348858486944</v>
      </c>
      <c r="BJ36" s="58">
        <f t="shared" si="95"/>
        <v>5669883.7899999991</v>
      </c>
      <c r="BK36" s="392">
        <f t="shared" si="106"/>
        <v>8.023761824691733E-2</v>
      </c>
      <c r="BL36" s="47">
        <v>6707622.0300000003</v>
      </c>
      <c r="BM36" s="391">
        <f t="shared" si="108"/>
        <v>2.4889303655279305E-2</v>
      </c>
      <c r="BN36" s="451">
        <f>[1]BILANS!B45</f>
        <v>5358811.24</v>
      </c>
      <c r="BO36" s="443">
        <f t="shared" si="96"/>
        <v>-0.18103725042755514</v>
      </c>
      <c r="BP36" s="390">
        <v>4653317.3499999996</v>
      </c>
      <c r="BQ36" s="440">
        <f t="shared" si="97"/>
        <v>-0.28430923827887267</v>
      </c>
      <c r="BR36" s="58">
        <v>5248737.5872</v>
      </c>
      <c r="BS36" s="392">
        <f t="shared" si="107"/>
        <v>-0.251135329008363</v>
      </c>
      <c r="BT36" s="47">
        <f>[1]BILANS!E45</f>
        <v>6544728.2999999998</v>
      </c>
      <c r="BU36" s="391">
        <f t="shared" si="98"/>
        <v>-9.856692594716554E-2</v>
      </c>
      <c r="BV36" s="58">
        <f>[1]BILANS!F45</f>
        <v>6543412.6799999997</v>
      </c>
      <c r="BW36" s="443">
        <f t="shared" si="99"/>
        <v>-0.10695783329714337</v>
      </c>
      <c r="BX36" s="390">
        <f>[1]BILANS!G45</f>
        <v>6501854.71</v>
      </c>
      <c r="BY36" s="440">
        <f t="shared" si="100"/>
        <v>-0.13548599294793706</v>
      </c>
      <c r="BZ36" s="58">
        <f>[1]BILANS!H45</f>
        <v>7008926.7000000002</v>
      </c>
      <c r="CA36" s="47">
        <f>[1]BILANS!I45</f>
        <v>7260359.6299999999</v>
      </c>
      <c r="CB36" s="58">
        <f>[1]BILANS!J45</f>
        <v>7327103.8300000001</v>
      </c>
      <c r="CC36" s="390">
        <v>7520820.5499999998</v>
      </c>
      <c r="CD36" s="446">
        <v>7869857.0700000003</v>
      </c>
      <c r="CE36" s="47">
        <v>8566814.7599999998</v>
      </c>
      <c r="CF36" s="23">
        <v>8633383.6799999997</v>
      </c>
      <c r="CG36" s="442">
        <v>8610038.7599999998</v>
      </c>
      <c r="CH36" s="23">
        <v>8758712.7599999998</v>
      </c>
      <c r="CI36" s="47">
        <v>10081938.560000001</v>
      </c>
      <c r="CJ36" s="23">
        <v>9952354.1799999997</v>
      </c>
      <c r="CK36" s="441">
        <v>10040647.5</v>
      </c>
      <c r="CL36" s="23">
        <v>10472603.289999999</v>
      </c>
      <c r="CM36" s="47">
        <v>11752170.460000001</v>
      </c>
      <c r="CN36" s="23">
        <v>11865736.84</v>
      </c>
      <c r="CO36" s="47">
        <v>12118624.32</v>
      </c>
      <c r="CP36" s="388"/>
      <c r="CQ36" s="394"/>
      <c r="CR36" s="388"/>
      <c r="CS36" s="394"/>
      <c r="CT36" s="388"/>
      <c r="CU36" s="394"/>
      <c r="CV36" s="388"/>
      <c r="CW36" s="394"/>
      <c r="CX36" s="388"/>
      <c r="CY36" s="394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27.9" customHeight="1">
      <c r="A37" s="432" t="s">
        <v>13</v>
      </c>
      <c r="B37" s="58">
        <v>38176241.560000002</v>
      </c>
      <c r="C37" s="392">
        <f t="shared" si="66"/>
        <v>-0.48787730131617357</v>
      </c>
      <c r="D37" s="390">
        <v>138062245.30000001</v>
      </c>
      <c r="E37" s="440">
        <f t="shared" si="101"/>
        <v>0.58343808017052501</v>
      </c>
      <c r="F37" s="58">
        <v>175523542.05000001</v>
      </c>
      <c r="G37" s="392">
        <f t="shared" si="67"/>
        <v>0.98393438389435262</v>
      </c>
      <c r="H37" s="390">
        <v>40787305.990000002</v>
      </c>
      <c r="I37" s="493">
        <f t="shared" si="68"/>
        <v>-0.53032143228160478</v>
      </c>
      <c r="J37" s="58">
        <v>74545107.370000005</v>
      </c>
      <c r="K37" s="392">
        <f t="shared" si="69"/>
        <v>0.21106109944023599</v>
      </c>
      <c r="L37" s="390">
        <v>87191439.329999998</v>
      </c>
      <c r="M37" s="440">
        <f t="shared" si="102"/>
        <v>0.8078632107707675</v>
      </c>
      <c r="N37" s="58">
        <f t="shared" si="70"/>
        <v>88472453.260000005</v>
      </c>
      <c r="O37" s="392">
        <f t="shared" si="71"/>
        <v>1.6484975264742845</v>
      </c>
      <c r="P37" s="390">
        <v>86840892.460000023</v>
      </c>
      <c r="Q37" s="493">
        <f t="shared" si="72"/>
        <v>1.0142902380153997</v>
      </c>
      <c r="R37" s="58">
        <v>61553547.880000003</v>
      </c>
      <c r="S37" s="392">
        <f t="shared" si="73"/>
        <v>1.0141315800093054</v>
      </c>
      <c r="T37" s="390">
        <v>48229002.509999998</v>
      </c>
      <c r="U37" s="440">
        <f t="shared" si="103"/>
        <v>1.1487526118827556</v>
      </c>
      <c r="V37" s="58">
        <f t="shared" si="74"/>
        <v>33404770.960000001</v>
      </c>
      <c r="W37" s="392">
        <f t="shared" si="75"/>
        <v>0.10307343339770658</v>
      </c>
      <c r="X37" s="390">
        <v>43112402.979999997</v>
      </c>
      <c r="Y37" s="493">
        <f t="shared" si="76"/>
        <v>0.20555105143642827</v>
      </c>
      <c r="Z37" s="58">
        <v>30560837.48</v>
      </c>
      <c r="AA37" s="392">
        <f t="shared" si="77"/>
        <v>0.17958908446604704</v>
      </c>
      <c r="AB37" s="390">
        <v>22445116.41</v>
      </c>
      <c r="AC37" s="440">
        <f t="shared" si="78"/>
        <v>-0.103528172730604</v>
      </c>
      <c r="AD37" s="58">
        <f t="shared" si="79"/>
        <v>30283360.969999999</v>
      </c>
      <c r="AE37" s="392">
        <f t="shared" si="80"/>
        <v>1.9236437631741543E-2</v>
      </c>
      <c r="AF37" s="390">
        <v>35761573.869999997</v>
      </c>
      <c r="AG37" s="493">
        <f t="shared" si="81"/>
        <v>0.54561977867338385</v>
      </c>
      <c r="AH37" s="58">
        <v>25908036.859999999</v>
      </c>
      <c r="AI37" s="392">
        <f t="shared" si="82"/>
        <v>1.8061149278888466E-2</v>
      </c>
      <c r="AJ37" s="390">
        <v>25037168.739999998</v>
      </c>
      <c r="AK37" s="440">
        <f t="shared" si="83"/>
        <v>5.3213827143229864E-2</v>
      </c>
      <c r="AL37" s="58">
        <f t="shared" si="84"/>
        <v>29711811.559999999</v>
      </c>
      <c r="AM37" s="392">
        <f t="shared" si="85"/>
        <v>0.27439373613628804</v>
      </c>
      <c r="AN37" s="390">
        <v>23137368.170000002</v>
      </c>
      <c r="AO37" s="493">
        <f t="shared" si="86"/>
        <v>-2.4252692080758975E-2</v>
      </c>
      <c r="AP37" s="58">
        <v>25448409.34</v>
      </c>
      <c r="AQ37" s="392">
        <f t="shared" si="104"/>
        <v>0.2242130651994505</v>
      </c>
      <c r="AR37" s="390">
        <v>23772161.07</v>
      </c>
      <c r="AS37" s="440">
        <f t="shared" si="87"/>
        <v>0.17363027083227855</v>
      </c>
      <c r="AT37" s="58">
        <f t="shared" si="88"/>
        <v>23314467.670000002</v>
      </c>
      <c r="AU37" s="392">
        <f t="shared" si="89"/>
        <v>-0.13438004925831182</v>
      </c>
      <c r="AV37" s="390">
        <v>23712459.140000001</v>
      </c>
      <c r="AW37" s="493">
        <f t="shared" si="90"/>
        <v>-0.31987444285502653</v>
      </c>
      <c r="AX37" s="58">
        <v>20787565.550000001</v>
      </c>
      <c r="AY37" s="392">
        <f t="shared" si="91"/>
        <v>-0.37876678101856376</v>
      </c>
      <c r="AZ37" s="390">
        <v>20255238.52</v>
      </c>
      <c r="BA37" s="440">
        <f t="shared" si="92"/>
        <v>-0.21032691661963776</v>
      </c>
      <c r="BB37" s="58">
        <f t="shared" si="93"/>
        <v>26933838.170000002</v>
      </c>
      <c r="BC37" s="455">
        <f t="shared" si="105"/>
        <v>0.1009921087892891</v>
      </c>
      <c r="BD37" s="390">
        <v>34864825.899999999</v>
      </c>
      <c r="BE37" s="440">
        <f t="shared" si="56"/>
        <v>3.8319394977639476E-2</v>
      </c>
      <c r="BF37" s="58">
        <v>33461773.960000001</v>
      </c>
      <c r="BG37" s="392">
        <f t="shared" si="94"/>
        <v>0.5748625476032152</v>
      </c>
      <c r="BH37" s="390">
        <v>25650156.940000001</v>
      </c>
      <c r="BI37" s="440">
        <f t="shared" si="94"/>
        <v>0.24215311327927647</v>
      </c>
      <c r="BJ37" s="58">
        <f t="shared" si="95"/>
        <v>24463243.609999999</v>
      </c>
      <c r="BK37" s="392">
        <f t="shared" si="106"/>
        <v>0.17476948522666036</v>
      </c>
      <c r="BL37" s="47">
        <v>33578132.189999998</v>
      </c>
      <c r="BM37" s="391">
        <f t="shared" si="108"/>
        <v>0.3869430962329532</v>
      </c>
      <c r="BN37" s="451">
        <f>[1]BILANS!B55</f>
        <v>21247425.060000002</v>
      </c>
      <c r="BO37" s="443">
        <f t="shared" si="96"/>
        <v>-0.10119130497993201</v>
      </c>
      <c r="BP37" s="390">
        <v>20649754.580000002</v>
      </c>
      <c r="BQ37" s="440">
        <f t="shared" si="97"/>
        <v>-8.3211130806189693E-2</v>
      </c>
      <c r="BR37" s="58">
        <v>20823867.080000002</v>
      </c>
      <c r="BS37" s="392">
        <f t="shared" si="107"/>
        <v>0.33041915585607762</v>
      </c>
      <c r="BT37" s="47">
        <f>[1]BILANS!E55</f>
        <v>24210172.920000002</v>
      </c>
      <c r="BU37" s="391">
        <f t="shared" si="98"/>
        <v>3.5880175076365983E-3</v>
      </c>
      <c r="BV37" s="58">
        <f>[1]BILANS!F55</f>
        <v>23639541.07</v>
      </c>
      <c r="BW37" s="443">
        <f t="shared" si="99"/>
        <v>0.60877829948198237</v>
      </c>
      <c r="BX37" s="390">
        <f>[1]BILANS!G55</f>
        <v>22524002.279999997</v>
      </c>
      <c r="BY37" s="440">
        <f t="shared" si="100"/>
        <v>0.25578952517862974</v>
      </c>
      <c r="BZ37" s="58">
        <f>[1]BILANS!H55</f>
        <v>15652110.08</v>
      </c>
      <c r="CA37" s="47">
        <f>[1]BILANS!I55</f>
        <v>24123616.960000001</v>
      </c>
      <c r="CB37" s="58">
        <f>[1]BILANS!J55</f>
        <v>14694094.939999999</v>
      </c>
      <c r="CC37" s="390">
        <v>17936128.490000002</v>
      </c>
      <c r="CD37" s="446">
        <v>12896868.409999998</v>
      </c>
      <c r="CE37" s="47">
        <v>27213625.420000002</v>
      </c>
      <c r="CF37" s="23">
        <v>16627654.52</v>
      </c>
      <c r="CG37" s="442">
        <v>13795068.77</v>
      </c>
      <c r="CH37" s="23">
        <v>13798182.33</v>
      </c>
      <c r="CI37" s="47">
        <v>16007349.540000001</v>
      </c>
      <c r="CJ37" s="23">
        <v>13137462.58</v>
      </c>
      <c r="CK37" s="441">
        <v>12445973.630000001</v>
      </c>
      <c r="CL37" s="23">
        <v>11840677.440000001</v>
      </c>
      <c r="CM37" s="47">
        <v>13608333.559999999</v>
      </c>
      <c r="CN37" s="23">
        <v>10744509.27</v>
      </c>
      <c r="CO37" s="47">
        <v>9028822.4700000007</v>
      </c>
      <c r="CP37" s="388"/>
      <c r="CQ37" s="394"/>
      <c r="CR37" s="388"/>
      <c r="CS37" s="394"/>
      <c r="CT37" s="388"/>
      <c r="CU37" s="394"/>
      <c r="CV37" s="388"/>
      <c r="CW37" s="394"/>
      <c r="CX37" s="388"/>
      <c r="CY37" s="394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</row>
    <row r="38" spans="1:129" ht="27.9" customHeight="1">
      <c r="X38" s="388"/>
      <c r="Y38" s="394"/>
      <c r="Z38" s="388"/>
      <c r="AA38" s="394"/>
      <c r="AB38" s="388"/>
      <c r="AC38" s="394"/>
      <c r="AD38" s="388"/>
      <c r="AE38" s="394"/>
      <c r="AF38" s="388"/>
      <c r="AG38" s="394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129" ht="48" customHeight="1">
      <c r="A39" s="525" t="s">
        <v>139</v>
      </c>
      <c r="B39" s="525"/>
      <c r="C39" s="525"/>
      <c r="D39" s="525"/>
      <c r="E39" s="525"/>
      <c r="F39" s="525"/>
      <c r="G39" s="525"/>
      <c r="H39" s="525"/>
      <c r="I39" s="525"/>
      <c r="J39" s="525"/>
      <c r="K39" s="525"/>
      <c r="L39" s="525"/>
      <c r="M39" s="375"/>
      <c r="S39" s="388"/>
      <c r="T39" s="388"/>
      <c r="U39" s="388"/>
      <c r="V39" s="388"/>
      <c r="W39" s="394"/>
      <c r="X39" s="388"/>
      <c r="Y39" s="394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129" ht="27.9" customHeight="1">
      <c r="A40" s="434"/>
      <c r="B40" s="17" t="s">
        <v>288</v>
      </c>
      <c r="C40" s="376" t="s">
        <v>113</v>
      </c>
      <c r="D40" s="24" t="s">
        <v>285</v>
      </c>
      <c r="E40" s="435" t="s">
        <v>113</v>
      </c>
      <c r="F40" s="17" t="s">
        <v>282</v>
      </c>
      <c r="G40" s="376" t="s">
        <v>113</v>
      </c>
      <c r="H40" s="24" t="s">
        <v>279</v>
      </c>
      <c r="I40" s="419" t="s">
        <v>113</v>
      </c>
      <c r="J40" s="17" t="s">
        <v>277</v>
      </c>
      <c r="K40" s="376" t="s">
        <v>113</v>
      </c>
      <c r="L40" s="24" t="s">
        <v>274</v>
      </c>
      <c r="M40" s="435" t="s">
        <v>113</v>
      </c>
      <c r="N40" s="17" t="s">
        <v>272</v>
      </c>
      <c r="O40" s="376" t="s">
        <v>113</v>
      </c>
      <c r="P40" s="24" t="s">
        <v>269</v>
      </c>
      <c r="Q40" s="419" t="s">
        <v>113</v>
      </c>
      <c r="R40" s="17" t="s">
        <v>267</v>
      </c>
      <c r="S40" s="376" t="s">
        <v>113</v>
      </c>
      <c r="T40" s="24" t="s">
        <v>264</v>
      </c>
      <c r="U40" s="435" t="s">
        <v>113</v>
      </c>
      <c r="V40" s="17" t="s">
        <v>257</v>
      </c>
      <c r="W40" s="376" t="s">
        <v>113</v>
      </c>
      <c r="X40" s="24" t="s">
        <v>255</v>
      </c>
      <c r="Y40" s="419" t="s">
        <v>113</v>
      </c>
      <c r="Z40" s="17" t="s">
        <v>250</v>
      </c>
      <c r="AA40" s="376" t="s">
        <v>113</v>
      </c>
      <c r="AB40" s="24" t="s">
        <v>247</v>
      </c>
      <c r="AC40" s="435" t="s">
        <v>113</v>
      </c>
      <c r="AD40" s="17" t="s">
        <v>246</v>
      </c>
      <c r="AE40" s="376" t="s">
        <v>113</v>
      </c>
      <c r="AF40" s="24" t="s">
        <v>244</v>
      </c>
      <c r="AG40" s="419" t="s">
        <v>113</v>
      </c>
      <c r="AH40" s="17" t="s">
        <v>240</v>
      </c>
      <c r="AI40" s="376" t="s">
        <v>113</v>
      </c>
      <c r="AJ40" s="24" t="s">
        <v>237</v>
      </c>
      <c r="AK40" s="435" t="s">
        <v>113</v>
      </c>
      <c r="AL40" s="17" t="s">
        <v>236</v>
      </c>
      <c r="AM40" s="376" t="s">
        <v>113</v>
      </c>
      <c r="AN40" s="24" t="s">
        <v>233</v>
      </c>
      <c r="AO40" s="419" t="s">
        <v>113</v>
      </c>
      <c r="AP40" s="17" t="s">
        <v>228</v>
      </c>
      <c r="AQ40" s="376" t="s">
        <v>113</v>
      </c>
      <c r="AR40" s="24" t="s">
        <v>225</v>
      </c>
      <c r="AS40" s="435" t="s">
        <v>113</v>
      </c>
      <c r="AT40" s="17" t="s">
        <v>221</v>
      </c>
      <c r="AU40" s="376" t="s">
        <v>113</v>
      </c>
      <c r="AV40" s="24" t="s">
        <v>217</v>
      </c>
      <c r="AW40" s="419" t="s">
        <v>113</v>
      </c>
      <c r="AX40" s="17" t="s">
        <v>215</v>
      </c>
      <c r="AY40" s="376" t="s">
        <v>113</v>
      </c>
      <c r="AZ40" s="24" t="s">
        <v>212</v>
      </c>
      <c r="BA40" s="435" t="s">
        <v>113</v>
      </c>
      <c r="BB40" s="17" t="s">
        <v>209</v>
      </c>
      <c r="BC40" s="376" t="s">
        <v>113</v>
      </c>
      <c r="BD40" s="24" t="s">
        <v>207</v>
      </c>
      <c r="BE40" s="470" t="s">
        <v>113</v>
      </c>
      <c r="BF40" s="17" t="s">
        <v>204</v>
      </c>
      <c r="BG40" s="376" t="s">
        <v>113</v>
      </c>
      <c r="BH40" s="24" t="s">
        <v>202</v>
      </c>
      <c r="BI40" s="435" t="s">
        <v>113</v>
      </c>
      <c r="BJ40" s="17" t="s">
        <v>200</v>
      </c>
      <c r="BK40" s="376" t="s">
        <v>113</v>
      </c>
      <c r="BL40" s="24" t="s">
        <v>199</v>
      </c>
      <c r="BM40" s="419" t="s">
        <v>113</v>
      </c>
      <c r="BN40" s="17" t="s">
        <v>193</v>
      </c>
      <c r="BO40" s="376" t="s">
        <v>113</v>
      </c>
      <c r="BP40" s="24" t="s">
        <v>190</v>
      </c>
      <c r="BQ40" s="435" t="s">
        <v>113</v>
      </c>
      <c r="BR40" s="17" t="s">
        <v>189</v>
      </c>
      <c r="BS40" s="376" t="s">
        <v>113</v>
      </c>
      <c r="BT40" s="24" t="s">
        <v>188</v>
      </c>
      <c r="BU40" s="419" t="s">
        <v>113</v>
      </c>
      <c r="BV40" s="17" t="s">
        <v>186</v>
      </c>
      <c r="BW40" s="376" t="s">
        <v>113</v>
      </c>
      <c r="BX40" s="24" t="s">
        <v>183</v>
      </c>
      <c r="BY40" s="435" t="s">
        <v>113</v>
      </c>
      <c r="BZ40" s="17" t="s">
        <v>182</v>
      </c>
      <c r="CA40" s="24" t="s">
        <v>180</v>
      </c>
      <c r="CB40" s="17" t="s">
        <v>177</v>
      </c>
      <c r="CC40" s="436" t="s">
        <v>155</v>
      </c>
      <c r="CD40" s="17" t="s">
        <v>116</v>
      </c>
      <c r="CE40" s="24" t="s">
        <v>25</v>
      </c>
      <c r="CF40" s="17" t="s">
        <v>26</v>
      </c>
      <c r="CG40" s="436" t="s">
        <v>16</v>
      </c>
      <c r="CH40" s="17" t="s">
        <v>27</v>
      </c>
      <c r="CI40" s="24" t="s">
        <v>28</v>
      </c>
      <c r="CJ40" s="17" t="s">
        <v>29</v>
      </c>
      <c r="CK40" s="436" t="s">
        <v>20</v>
      </c>
      <c r="CL40" s="17" t="s">
        <v>30</v>
      </c>
      <c r="CM40" s="24" t="s">
        <v>31</v>
      </c>
      <c r="CN40" s="17" t="s">
        <v>32</v>
      </c>
      <c r="CO40" s="24" t="s">
        <v>24</v>
      </c>
      <c r="CP40" s="388"/>
      <c r="CQ40" s="394"/>
      <c r="CR40" s="388"/>
      <c r="CS40" s="394"/>
      <c r="CT40" s="388"/>
      <c r="CU40" s="394"/>
      <c r="CV40" s="388"/>
      <c r="CW40" s="394"/>
      <c r="CX40" s="388"/>
      <c r="CY40" s="394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</row>
    <row r="41" spans="1:129" ht="27.9" customHeight="1">
      <c r="A41" s="431" t="s">
        <v>2</v>
      </c>
      <c r="B41" s="396">
        <f>B23-D23</f>
        <v>125948221.46000001</v>
      </c>
      <c r="C41" s="444">
        <f t="shared" ref="C41:C48" si="109">(B41/J41)-1</f>
        <v>3.122084601283488</v>
      </c>
      <c r="D41" s="381">
        <f>D23</f>
        <v>24191840.600000001</v>
      </c>
      <c r="E41" s="437">
        <f t="shared" ref="E41:E43" si="110">(D41/L41)-1</f>
        <v>0.16951118473828974</v>
      </c>
      <c r="F41" s="396">
        <f t="shared" ref="F41:F48" si="111">F23-H23</f>
        <v>102697692.95000002</v>
      </c>
      <c r="G41" s="444">
        <f t="shared" ref="G41:G48" si="112">(F41/N41)-1</f>
        <v>-0.19493218448241056</v>
      </c>
      <c r="H41" s="381">
        <f t="shared" ref="H41:H48" si="113">H23-J23</f>
        <v>98811359.549999982</v>
      </c>
      <c r="I41" s="492">
        <f>(H41/P41)-1</f>
        <v>5.1125697433699093</v>
      </c>
      <c r="J41" s="396">
        <f t="shared" ref="J41:J48" si="114">J23-L23</f>
        <v>30554496.970000003</v>
      </c>
      <c r="K41" s="444">
        <f t="shared" ref="K41:K48" si="115">(J41/R41)-1</f>
        <v>8.09976966169463</v>
      </c>
      <c r="L41" s="381">
        <f>L23</f>
        <v>20685429.02</v>
      </c>
      <c r="M41" s="437">
        <f t="shared" ref="M41:M43" si="116">(L41/T41)-1</f>
        <v>1.9478718082432129</v>
      </c>
      <c r="N41" s="396">
        <f t="shared" ref="N41:N48" si="117">N23-P23</f>
        <v>127564027.48999999</v>
      </c>
      <c r="O41" s="444">
        <f t="shared" ref="O41:O48" si="118">(N41/V41)-1</f>
        <v>2.7608868662146357</v>
      </c>
      <c r="P41" s="381">
        <f t="shared" ref="P41:P48" si="119">P23-R23</f>
        <v>16165273.15</v>
      </c>
      <c r="Q41" s="492">
        <f>(P41/X41)-1</f>
        <v>2.0696336983216446</v>
      </c>
      <c r="R41" s="396">
        <f t="shared" ref="R41:R48" si="120">R23-T23</f>
        <v>3357722.0199999996</v>
      </c>
      <c r="S41" s="444">
        <f>(R41/Z41)-1</f>
        <v>-0.72317194185302081</v>
      </c>
      <c r="T41" s="381">
        <f>T23</f>
        <v>7017072.0999999996</v>
      </c>
      <c r="U41" s="437">
        <f t="shared" ref="U41:U43" si="121">(T41/AB41)-1</f>
        <v>-0.63181833683429645</v>
      </c>
      <c r="V41" s="396">
        <f t="shared" ref="V41:V48" si="122">V23-X23</f>
        <v>33918602.719999991</v>
      </c>
      <c r="W41" s="444">
        <f t="shared" ref="W41:W48" si="123">(V41/AD41)-1</f>
        <v>2.5046487886542401E-2</v>
      </c>
      <c r="X41" s="381">
        <f t="shared" ref="X41:X48" si="124">X23-Z23</f>
        <v>5266189.6300000027</v>
      </c>
      <c r="Y41" s="492">
        <f t="shared" ref="Y41:Y48" si="125">(X41/AF41)-1</f>
        <v>0.97605988343032468</v>
      </c>
      <c r="Z41" s="396">
        <f t="shared" ref="Z41:Z48" si="126">Z23-AB23</f>
        <v>12129269.129999999</v>
      </c>
      <c r="AA41" s="444">
        <f t="shared" ref="AA41:AA48" si="127">(Z41/AH41)-1</f>
        <v>2.3538486756482153</v>
      </c>
      <c r="AB41" s="381">
        <f>AB23</f>
        <v>19058722.370000001</v>
      </c>
      <c r="AC41" s="437">
        <f t="shared" ref="AC41:AC48" si="128">(AB41/AJ41)-1</f>
        <v>4.5657243857406957</v>
      </c>
      <c r="AD41" s="396">
        <f t="shared" ref="AD41:AD48" si="129">AD23-AF23</f>
        <v>33089818.970000003</v>
      </c>
      <c r="AE41" s="444">
        <f t="shared" ref="AE41:AE48" si="130">(AD41/AL41)-1</f>
        <v>0.4019783811996831</v>
      </c>
      <c r="AF41" s="381">
        <f t="shared" ref="AF41:AF48" si="131">AF23-AH23</f>
        <v>2664994.96</v>
      </c>
      <c r="AG41" s="492">
        <f t="shared" ref="AG41:AG48" si="132">(AF41/AN41)-1</f>
        <v>-0.29940312319317508</v>
      </c>
      <c r="AH41" s="396">
        <f t="shared" ref="AH41:AH48" si="133">AH23-AJ23</f>
        <v>3616522.48</v>
      </c>
      <c r="AI41" s="444">
        <f t="shared" ref="AI41:AI48" si="134">(AH41/AP41)-1</f>
        <v>-0.68985596287799367</v>
      </c>
      <c r="AJ41" s="381">
        <f>AJ23</f>
        <v>3424302.22</v>
      </c>
      <c r="AK41" s="437">
        <f>(AJ41/AR41)-1</f>
        <v>0.41890789196240208</v>
      </c>
      <c r="AL41" s="396">
        <f t="shared" ref="AL41:AL48" si="135">AL23-AN23</f>
        <v>23602231.969999995</v>
      </c>
      <c r="AM41" s="444">
        <f t="shared" ref="AM41:AM48" si="136">(AL41/AT41)-1</f>
        <v>-4.0141187328598282E-2</v>
      </c>
      <c r="AN41" s="381">
        <f t="shared" ref="AN41:AN48" si="137">AN23-AP23</f>
        <v>3803892.1500000022</v>
      </c>
      <c r="AO41" s="492">
        <f t="shared" ref="AO41:AO48" si="138">(AN41/AV41)-1</f>
        <v>0.36128017830613524</v>
      </c>
      <c r="AP41" s="396">
        <f t="shared" ref="AP41:AP48" si="139">AP23-AR23</f>
        <v>11660783.529999999</v>
      </c>
      <c r="AQ41" s="444">
        <f>(AP41/AX41)-1</f>
        <v>0.26405169707304732</v>
      </c>
      <c r="AR41" s="381">
        <f>AR23</f>
        <v>2413336.5099999998</v>
      </c>
      <c r="AS41" s="437">
        <f t="shared" ref="AS41:AS48" si="140">(AR41/AZ41)-1</f>
        <v>-0.84475085326362653</v>
      </c>
      <c r="AT41" s="396">
        <f t="shared" ref="AT41:AT48" si="141">AT23-AV23</f>
        <v>24589274.649999999</v>
      </c>
      <c r="AU41" s="444">
        <f t="shared" ref="AU41:AU48" si="142">(AT41/BB41)-1</f>
        <v>-0.30635279663247728</v>
      </c>
      <c r="AV41" s="381">
        <f t="shared" ref="AV41:AV48" si="143">AV23-AX23</f>
        <v>2794349.1799999997</v>
      </c>
      <c r="AW41" s="492">
        <f t="shared" ref="AW41:AW48" si="144">(AV41/BD41)-1</f>
        <v>-0.5736786179876503</v>
      </c>
      <c r="AX41" s="396">
        <f t="shared" ref="AX41:AX48" si="145">AX23-AZ23</f>
        <v>9224926.1300000008</v>
      </c>
      <c r="AY41" s="444">
        <f>(AX41/BF41)-1</f>
        <v>0.54208126828679615</v>
      </c>
      <c r="AZ41" s="381">
        <f>AZ23</f>
        <v>15544926.08</v>
      </c>
      <c r="BA41" s="437">
        <f t="shared" ref="BA41:BA48" si="146">(AZ41/BH41)-1</f>
        <v>2.254325324573339</v>
      </c>
      <c r="BB41" s="396">
        <f t="shared" ref="BB41:BB48" si="147">BB23-BD23</f>
        <v>35449252.199999996</v>
      </c>
      <c r="BC41" s="444">
        <f t="shared" ref="BC41:BC48" si="148">(BB41/BJ41)-1</f>
        <v>0.25146219231782263</v>
      </c>
      <c r="BD41" s="381">
        <f t="shared" ref="BD41:BD48" si="149">BD23-BF23</f>
        <v>6554560.2400000021</v>
      </c>
      <c r="BE41" s="437">
        <f t="shared" ref="BE41:BE48" si="150">(BD41/BL41)-1</f>
        <v>0.15502162521765772</v>
      </c>
      <c r="BF41" s="396">
        <f t="shared" ref="BF41:BF48" si="151">BF23-BH23</f>
        <v>5982127.0899999999</v>
      </c>
      <c r="BG41" s="444">
        <f>(BF41/BN41)-1</f>
        <v>5.2299746608015729E-2</v>
      </c>
      <c r="BH41" s="381">
        <f>BH23</f>
        <v>4776697.0199999996</v>
      </c>
      <c r="BI41" s="437">
        <f>(BH41/BP41)-1</f>
        <v>2.4007122036467266E-2</v>
      </c>
      <c r="BJ41" s="396">
        <f t="shared" ref="BJ41:BJ48" si="152">BJ23-BL23</f>
        <v>28326267</v>
      </c>
      <c r="BK41" s="444">
        <f>BJ41/BR41-1</f>
        <v>-0.10789264427986089</v>
      </c>
      <c r="BL41" s="438">
        <f>BL23-BN23</f>
        <v>5674837.6799999997</v>
      </c>
      <c r="BM41" s="382">
        <f>(BL41/BT41)-1</f>
        <v>-0.15432245317857274</v>
      </c>
      <c r="BN41" s="396">
        <f t="shared" ref="BN41:BN48" si="153">BN23-BP23</f>
        <v>5684812.8200000003</v>
      </c>
      <c r="BO41" s="444">
        <f>BN41/BV41-1</f>
        <v>-0.69804788274256047</v>
      </c>
      <c r="BP41" s="381">
        <f>BP23</f>
        <v>4664710.74</v>
      </c>
      <c r="BQ41" s="437">
        <f>(BP41/BX41)-1</f>
        <v>-0.43935625982798665</v>
      </c>
      <c r="BR41" s="396">
        <f t="shared" ref="BR41:BR48" si="154">BR23-BT23</f>
        <v>31752083.219999999</v>
      </c>
      <c r="BS41" s="444">
        <f>BR41/BZ41-1</f>
        <v>0.22228735040167047</v>
      </c>
      <c r="BT41" s="438">
        <f>BT23-BV23</f>
        <v>6710403.629999999</v>
      </c>
      <c r="BU41" s="382">
        <f t="shared" ref="BU41:BU48" si="155">(BT41/CA41)-1</f>
        <v>-0.20822565245199232</v>
      </c>
      <c r="BV41" s="396">
        <f t="shared" ref="BV41:BV48" si="156">BV23-BX23</f>
        <v>18826868.549999997</v>
      </c>
      <c r="BW41" s="444">
        <f t="shared" ref="BW41:BW47" si="157">BV41/CB41-1</f>
        <v>0.82563912656803695</v>
      </c>
      <c r="BX41" s="381">
        <f>BX23</f>
        <v>8320276.1500000004</v>
      </c>
      <c r="BY41" s="437">
        <f t="shared" ref="BY41:BY48" si="158">(BX41/CC41)-1</f>
        <v>0.10711566727312505</v>
      </c>
      <c r="BZ41" s="396">
        <f>[1]RZIS!AD6</f>
        <v>25977592.920000002</v>
      </c>
      <c r="CA41" s="438">
        <f t="shared" ref="CA41:CB45" si="159">CA23-CB23</f>
        <v>8475146.5500000007</v>
      </c>
      <c r="CB41" s="396">
        <f t="shared" si="159"/>
        <v>10312480.859999999</v>
      </c>
      <c r="CC41" s="452">
        <v>7515272.7000000002</v>
      </c>
      <c r="CD41" s="383">
        <v>23418124.890000004</v>
      </c>
      <c r="CE41" s="438">
        <v>11875417.399999999</v>
      </c>
      <c r="CF41" s="383">
        <v>3064842.4899999998</v>
      </c>
      <c r="CG41" s="452">
        <v>2770085.85</v>
      </c>
      <c r="CH41" s="383">
        <v>18240694.190000001</v>
      </c>
      <c r="CI41" s="438">
        <v>3501047.2699999996</v>
      </c>
      <c r="CJ41" s="383">
        <v>5545700.3000000007</v>
      </c>
      <c r="CK41" s="439">
        <v>3884552.59</v>
      </c>
      <c r="CL41" s="383">
        <v>17104575.149999999</v>
      </c>
      <c r="CM41" s="438">
        <v>6379682.8700000001</v>
      </c>
      <c r="CN41" s="383">
        <v>4252315.8899999997</v>
      </c>
      <c r="CO41" s="438">
        <v>3371233.83</v>
      </c>
      <c r="CP41" s="388"/>
      <c r="CQ41" s="394"/>
      <c r="CR41" s="388"/>
      <c r="CS41" s="394"/>
      <c r="CT41" s="388"/>
      <c r="CU41" s="394"/>
      <c r="CV41" s="388"/>
      <c r="CW41" s="394"/>
      <c r="CX41" s="388"/>
      <c r="CY41" s="394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</row>
    <row r="42" spans="1:129" ht="27.9" customHeight="1">
      <c r="A42" s="432" t="s">
        <v>3</v>
      </c>
      <c r="B42" s="58">
        <f t="shared" ref="B41:B48" si="160">B24-D24</f>
        <v>39960868.079999998</v>
      </c>
      <c r="C42" s="443">
        <f t="shared" si="109"/>
        <v>2.8552910580941111</v>
      </c>
      <c r="D42" s="390">
        <f>D24</f>
        <v>7125274.3099999996</v>
      </c>
      <c r="E42" s="440">
        <f t="shared" si="110"/>
        <v>8.5360551005598806E-2</v>
      </c>
      <c r="F42" s="58">
        <f t="shared" si="111"/>
        <v>31164020.119999997</v>
      </c>
      <c r="G42" s="443">
        <f t="shared" si="112"/>
        <v>-0.37786476814263226</v>
      </c>
      <c r="H42" s="390">
        <f t="shared" si="113"/>
        <v>27407301.140000001</v>
      </c>
      <c r="I42" s="493">
        <f t="shared" ref="I42:I48" si="161">(H42/P42)-1</f>
        <v>5.6228001469367346</v>
      </c>
      <c r="J42" s="58">
        <f t="shared" si="114"/>
        <v>10365201.349999998</v>
      </c>
      <c r="K42" s="443">
        <f t="shared" si="115"/>
        <v>-59.676068033706635</v>
      </c>
      <c r="L42" s="390">
        <f>L24</f>
        <v>6564891.5499999998</v>
      </c>
      <c r="M42" s="440">
        <f t="shared" si="116"/>
        <v>27.113449126685062</v>
      </c>
      <c r="N42" s="58">
        <f t="shared" si="117"/>
        <v>50092035.5</v>
      </c>
      <c r="O42" s="443">
        <f t="shared" si="118"/>
        <v>2.9896660887843489</v>
      </c>
      <c r="P42" s="390">
        <f t="shared" si="119"/>
        <v>4138325.26</v>
      </c>
      <c r="Q42" s="493">
        <f t="shared" ref="Q42:Q48" si="162">(P42/X42)-1</f>
        <v>4.9673856527234328</v>
      </c>
      <c r="R42" s="58">
        <f t="shared" si="120"/>
        <v>-176651.25999999998</v>
      </c>
      <c r="S42" s="443">
        <f t="shared" ref="S42:S48" si="163">(R42/Z42)-1</f>
        <v>-1.0593889571773911</v>
      </c>
      <c r="T42" s="390">
        <f>T24</f>
        <v>233514.27</v>
      </c>
      <c r="U42" s="440">
        <f t="shared" si="121"/>
        <v>-0.96080712042530791</v>
      </c>
      <c r="V42" s="58">
        <f t="shared" si="122"/>
        <v>12555445.59</v>
      </c>
      <c r="W42" s="443">
        <f t="shared" si="123"/>
        <v>0.29624520401908039</v>
      </c>
      <c r="X42" s="390">
        <f t="shared" si="124"/>
        <v>693490.5</v>
      </c>
      <c r="Y42" s="493">
        <f t="shared" si="125"/>
        <v>-7.5423897474301036</v>
      </c>
      <c r="Z42" s="58">
        <f t="shared" si="126"/>
        <v>2974479.91</v>
      </c>
      <c r="AA42" s="443">
        <f t="shared" si="127"/>
        <v>1.4963649801730887</v>
      </c>
      <c r="AB42" s="390">
        <f>AB24</f>
        <v>5958078.9299999997</v>
      </c>
      <c r="AC42" s="440">
        <f t="shared" si="128"/>
        <v>-14.643197891162337</v>
      </c>
      <c r="AD42" s="58">
        <f t="shared" si="129"/>
        <v>9686011.2199999988</v>
      </c>
      <c r="AE42" s="443">
        <f t="shared" si="130"/>
        <v>0.16570881461565601</v>
      </c>
      <c r="AF42" s="390">
        <f t="shared" si="131"/>
        <v>-105999.57000000007</v>
      </c>
      <c r="AG42" s="493">
        <f t="shared" si="132"/>
        <v>-1.0625246767024608</v>
      </c>
      <c r="AH42" s="58">
        <f t="shared" si="133"/>
        <v>1191524.45</v>
      </c>
      <c r="AI42" s="443">
        <f t="shared" si="134"/>
        <v>-0.7698142978876733</v>
      </c>
      <c r="AJ42" s="390">
        <f>AJ24</f>
        <v>-436706.92</v>
      </c>
      <c r="AK42" s="440">
        <f>(AJ42/AR42)-1</f>
        <v>-0.5155779057907246</v>
      </c>
      <c r="AL42" s="58">
        <f t="shared" si="135"/>
        <v>8309117.2499999991</v>
      </c>
      <c r="AM42" s="443">
        <f t="shared" si="136"/>
        <v>0.68642337180866075</v>
      </c>
      <c r="AN42" s="390">
        <f t="shared" si="137"/>
        <v>1695323.7599999998</v>
      </c>
      <c r="AO42" s="493">
        <f t="shared" si="138"/>
        <v>-6.6453856404021225</v>
      </c>
      <c r="AP42" s="58">
        <f t="shared" si="139"/>
        <v>5176361.6900000004</v>
      </c>
      <c r="AQ42" s="443">
        <f>(AP42/AX42)-1</f>
        <v>1.8021722148948527</v>
      </c>
      <c r="AR42" s="390">
        <f>AR24</f>
        <v>-901500.83</v>
      </c>
      <c r="AS42" s="440">
        <f t="shared" si="140"/>
        <v>-1.2525967977637142</v>
      </c>
      <c r="AT42" s="58">
        <f t="shared" si="141"/>
        <v>4927064.8100000005</v>
      </c>
      <c r="AU42" s="443">
        <f t="shared" si="142"/>
        <v>-0.51178589867934399</v>
      </c>
      <c r="AV42" s="390">
        <f t="shared" si="143"/>
        <v>-300302.56000000052</v>
      </c>
      <c r="AW42" s="493">
        <f t="shared" si="144"/>
        <v>-0.27672269493090351</v>
      </c>
      <c r="AX42" s="58">
        <f t="shared" si="145"/>
        <v>1847267.5100000002</v>
      </c>
      <c r="AY42" s="443">
        <f>(AX42/BF42)-1</f>
        <v>-6.4128187401392367</v>
      </c>
      <c r="AZ42" s="390">
        <f>AZ24</f>
        <v>3568932.14</v>
      </c>
      <c r="BA42" s="440">
        <f t="shared" si="146"/>
        <v>-10.450063975157468</v>
      </c>
      <c r="BB42" s="58">
        <f t="shared" si="147"/>
        <v>10092016.59</v>
      </c>
      <c r="BC42" s="443">
        <f t="shared" si="148"/>
        <v>0.9935503793057201</v>
      </c>
      <c r="BD42" s="390">
        <f t="shared" si="149"/>
        <v>-415196.98999999987</v>
      </c>
      <c r="BE42" s="440">
        <f t="shared" si="150"/>
        <v>-1.1755297673269693</v>
      </c>
      <c r="BF42" s="58">
        <f t="shared" si="151"/>
        <v>-341276.43999999936</v>
      </c>
      <c r="BG42" s="443">
        <f t="shared" ref="BG42:BG48" si="164">(BF42/BN42)-1</f>
        <v>-3.1693343014753945</v>
      </c>
      <c r="BH42" s="390">
        <f>BH24</f>
        <v>-377662.22000000067</v>
      </c>
      <c r="BI42" s="440">
        <f t="shared" ref="BI42:BI47" si="165">(BH42/BP42)-1</f>
        <v>-1.6168693585496388</v>
      </c>
      <c r="BJ42" s="58">
        <f t="shared" si="152"/>
        <v>5062333.3599999994</v>
      </c>
      <c r="BK42" s="443">
        <f t="shared" ref="BK42:BK48" si="166">BJ42/BR42-1</f>
        <v>-0.42668680099424683</v>
      </c>
      <c r="BL42" s="47">
        <f>BL24-BN24</f>
        <v>2365393.6099999994</v>
      </c>
      <c r="BM42" s="391">
        <f>(BL42/BT42)-1</f>
        <v>2.2850370795361092</v>
      </c>
      <c r="BN42" s="58">
        <f t="shared" si="153"/>
        <v>157318.50999999978</v>
      </c>
      <c r="BO42" s="443">
        <f t="shared" ref="BO42:BO48" si="167">BN42/BV42-1</f>
        <v>-0.97150845907771677</v>
      </c>
      <c r="BP42" s="390">
        <f>BP24</f>
        <v>612223.99000000022</v>
      </c>
      <c r="BQ42" s="440">
        <f t="shared" ref="BQ42:BQ48" si="168">(BP42/BX42)-1</f>
        <v>-0.68342880943492024</v>
      </c>
      <c r="BR42" s="58">
        <f t="shared" si="154"/>
        <v>8829961.3000000007</v>
      </c>
      <c r="BS42" s="443">
        <f t="shared" ref="BS42:BS48" si="169">BR42/BZ42-1</f>
        <v>0.31547737634774342</v>
      </c>
      <c r="BT42" s="47">
        <f>BT24-BV24</f>
        <v>720050.8099999968</v>
      </c>
      <c r="BU42" s="391">
        <f t="shared" si="155"/>
        <v>-0.74639538809728312</v>
      </c>
      <c r="BV42" s="58">
        <f t="shared" si="156"/>
        <v>5521586.5800000001</v>
      </c>
      <c r="BW42" s="443">
        <f t="shared" si="157"/>
        <v>4.1221457738994269</v>
      </c>
      <c r="BX42" s="390">
        <f>BX24</f>
        <v>1933922</v>
      </c>
      <c r="BY42" s="440">
        <f t="shared" si="158"/>
        <v>2.8771444942127133</v>
      </c>
      <c r="BZ42" s="58">
        <f>[1]RZIS!AD8</f>
        <v>6712362.7199999988</v>
      </c>
      <c r="CA42" s="47">
        <f t="shared" si="159"/>
        <v>2839265.4400000004</v>
      </c>
      <c r="CB42" s="58">
        <f t="shared" si="159"/>
        <v>1077983.0999999994</v>
      </c>
      <c r="CC42" s="442">
        <v>498800.60000000056</v>
      </c>
      <c r="CD42" s="23">
        <v>5274569.9300000053</v>
      </c>
      <c r="CE42" s="47">
        <v>2956076.2899999972</v>
      </c>
      <c r="CF42" s="23">
        <v>891883.92000000039</v>
      </c>
      <c r="CG42" s="442">
        <v>312729.4700000002</v>
      </c>
      <c r="CH42" s="23">
        <v>2441555.5300000012</v>
      </c>
      <c r="CI42" s="47">
        <v>259938.39999999851</v>
      </c>
      <c r="CJ42" s="23">
        <v>433051.59000000078</v>
      </c>
      <c r="CK42" s="441">
        <v>526565.71</v>
      </c>
      <c r="CL42" s="23">
        <v>5550429.9900000002</v>
      </c>
      <c r="CM42" s="47">
        <v>1586061.9900000002</v>
      </c>
      <c r="CN42" s="23">
        <v>496162.11999999965</v>
      </c>
      <c r="CO42" s="47">
        <v>-471281.43999999994</v>
      </c>
      <c r="CP42" s="388"/>
      <c r="CQ42" s="394"/>
      <c r="CR42" s="388"/>
      <c r="CS42" s="394"/>
      <c r="CT42" s="388"/>
      <c r="CU42" s="394"/>
      <c r="CV42" s="388"/>
      <c r="CW42" s="394"/>
      <c r="CX42" s="388"/>
      <c r="CY42" s="394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</row>
    <row r="43" spans="1:129" ht="27.9" customHeight="1">
      <c r="A43" s="432" t="s">
        <v>4</v>
      </c>
      <c r="B43" s="58">
        <f t="shared" si="160"/>
        <v>32262216.889999997</v>
      </c>
      <c r="C43" s="443">
        <f t="shared" si="109"/>
        <v>5.6495982062636703</v>
      </c>
      <c r="D43" s="390">
        <f>D25</f>
        <v>1838692.26</v>
      </c>
      <c r="E43" s="440">
        <f t="shared" si="110"/>
        <v>-0.10463544409326653</v>
      </c>
      <c r="F43" s="58">
        <f t="shared" si="111"/>
        <v>21346240.719999995</v>
      </c>
      <c r="G43" s="443">
        <f t="shared" si="112"/>
        <v>-0.49891011914675243</v>
      </c>
      <c r="H43" s="390">
        <f t="shared" si="113"/>
        <v>21559548.619999997</v>
      </c>
      <c r="I43" s="493">
        <f t="shared" si="161"/>
        <v>-41.307197039968834</v>
      </c>
      <c r="J43" s="58">
        <f t="shared" si="114"/>
        <v>4851754.33</v>
      </c>
      <c r="K43" s="443">
        <f t="shared" si="115"/>
        <v>-2.086351578842315</v>
      </c>
      <c r="L43" s="390">
        <f>L25</f>
        <v>2053568.29</v>
      </c>
      <c r="M43" s="440">
        <f t="shared" si="116"/>
        <v>-1.548943932220737</v>
      </c>
      <c r="N43" s="58">
        <f t="shared" si="117"/>
        <v>42599624.409999996</v>
      </c>
      <c r="O43" s="443">
        <f t="shared" si="118"/>
        <v>4.9751461953381906</v>
      </c>
      <c r="P43" s="390">
        <f t="shared" si="119"/>
        <v>-534880.87000000104</v>
      </c>
      <c r="Q43" s="493">
        <f t="shared" si="162"/>
        <v>-0.86624512092624939</v>
      </c>
      <c r="R43" s="58">
        <f t="shared" si="120"/>
        <v>-4466099.58</v>
      </c>
      <c r="S43" s="443">
        <f t="shared" si="163"/>
        <v>1.9154627165382108</v>
      </c>
      <c r="T43" s="390">
        <f>T25</f>
        <v>-3740943.6</v>
      </c>
      <c r="U43" s="440">
        <f t="shared" si="121"/>
        <v>-2.9369051379391595</v>
      </c>
      <c r="V43" s="58">
        <f t="shared" si="122"/>
        <v>7129469.8100000005</v>
      </c>
      <c r="W43" s="443">
        <f t="shared" si="123"/>
        <v>0.26720894362409453</v>
      </c>
      <c r="X43" s="390">
        <f t="shared" si="124"/>
        <v>-3998963.43</v>
      </c>
      <c r="Y43" s="493">
        <f t="shared" si="125"/>
        <v>3.299081491763256E-2</v>
      </c>
      <c r="Z43" s="58">
        <f t="shared" si="126"/>
        <v>-1531866.4700000002</v>
      </c>
      <c r="AA43" s="443">
        <f t="shared" si="127"/>
        <v>-0.47391329671949822</v>
      </c>
      <c r="AB43" s="390">
        <f>AB25</f>
        <v>1931402.59</v>
      </c>
      <c r="AC43" s="440">
        <f t="shared" si="128"/>
        <v>-1.7645901863655005</v>
      </c>
      <c r="AD43" s="58">
        <f t="shared" si="129"/>
        <v>5626120.1799999997</v>
      </c>
      <c r="AE43" s="443">
        <f t="shared" si="130"/>
        <v>4.7648189361646276E-2</v>
      </c>
      <c r="AF43" s="390">
        <f t="shared" si="131"/>
        <v>-3871247.8099999996</v>
      </c>
      <c r="AG43" s="493">
        <f t="shared" si="132"/>
        <v>2.2327804583206365</v>
      </c>
      <c r="AH43" s="58">
        <f t="shared" si="133"/>
        <v>-2911813.7</v>
      </c>
      <c r="AI43" s="443">
        <f t="shared" si="134"/>
        <v>-1.9436331807152061</v>
      </c>
      <c r="AJ43" s="390">
        <f>AJ25</f>
        <v>-2526062.4900000002</v>
      </c>
      <c r="AK43" s="440">
        <f>(AJ43/AR43)-1</f>
        <v>-0.21078273253957547</v>
      </c>
      <c r="AL43" s="58">
        <f t="shared" si="135"/>
        <v>5370238.0599999996</v>
      </c>
      <c r="AM43" s="443">
        <f t="shared" si="136"/>
        <v>1.6776309280045982</v>
      </c>
      <c r="AN43" s="390">
        <f t="shared" si="137"/>
        <v>-1197497.8999999999</v>
      </c>
      <c r="AO43" s="493">
        <f t="shared" si="138"/>
        <v>-0.54984922760795951</v>
      </c>
      <c r="AP43" s="58">
        <f t="shared" si="139"/>
        <v>3085747.47</v>
      </c>
      <c r="AQ43" s="443">
        <f t="shared" ref="AQ43:AQ48" si="170">(AP43/AX43)-1</f>
        <v>-6.8218814132488861</v>
      </c>
      <c r="AR43" s="390">
        <f>AR25</f>
        <v>-3200718.73</v>
      </c>
      <c r="AS43" s="440">
        <f t="shared" si="140"/>
        <v>-3.4654238441794081</v>
      </c>
      <c r="AT43" s="58">
        <f t="shared" si="141"/>
        <v>2005593.0799999998</v>
      </c>
      <c r="AU43" s="443">
        <f t="shared" si="142"/>
        <v>-0.74502303064919562</v>
      </c>
      <c r="AV43" s="390">
        <f t="shared" si="143"/>
        <v>-2660215.1399999997</v>
      </c>
      <c r="AW43" s="493">
        <f t="shared" si="144"/>
        <v>-1.0057383151116261E-2</v>
      </c>
      <c r="AX43" s="58">
        <f t="shared" si="145"/>
        <v>-530025.82000000007</v>
      </c>
      <c r="AY43" s="443">
        <f t="shared" ref="AY43:AY48" si="171">(AX43/BF43)-1</f>
        <v>-0.77090243071096776</v>
      </c>
      <c r="AZ43" s="390">
        <f>AZ25</f>
        <v>1298242.79</v>
      </c>
      <c r="BA43" s="440">
        <f t="shared" si="146"/>
        <v>-1.5754862235080598</v>
      </c>
      <c r="BB43" s="58">
        <f t="shared" si="147"/>
        <v>7865781.3099999996</v>
      </c>
      <c r="BC43" s="443">
        <f t="shared" si="148"/>
        <v>4.7453914084040463</v>
      </c>
      <c r="BD43" s="390">
        <f t="shared" si="149"/>
        <v>-2687241.76</v>
      </c>
      <c r="BE43" s="440">
        <f t="shared" si="150"/>
        <v>19.386488805053997</v>
      </c>
      <c r="BF43" s="58">
        <f t="shared" si="151"/>
        <v>-2313537.5099999998</v>
      </c>
      <c r="BG43" s="443">
        <f t="shared" si="164"/>
        <v>0.17678069923353479</v>
      </c>
      <c r="BH43" s="390">
        <f>BH25</f>
        <v>-2255905.9400000004</v>
      </c>
      <c r="BI43" s="440">
        <f t="shared" si="165"/>
        <v>0.80749921992260054</v>
      </c>
      <c r="BJ43" s="58">
        <f t="shared" si="152"/>
        <v>1369059.2599999998</v>
      </c>
      <c r="BK43" s="443">
        <f t="shared" si="166"/>
        <v>-0.74990748987083333</v>
      </c>
      <c r="BL43" s="47">
        <f>BL25-BN25</f>
        <v>-131814.84000000078</v>
      </c>
      <c r="BM43" s="391">
        <f t="shared" ref="BM43:BM48" si="172">(BL43/BT43)-1</f>
        <v>-0.90909571522824961</v>
      </c>
      <c r="BN43" s="58">
        <f t="shared" si="153"/>
        <v>-1965988.6599999997</v>
      </c>
      <c r="BO43" s="443">
        <f t="shared" si="167"/>
        <v>-1.6494100915957257</v>
      </c>
      <c r="BP43" s="390">
        <f>BP25</f>
        <v>-1248081.2799999998</v>
      </c>
      <c r="BQ43" s="440">
        <f t="shared" si="168"/>
        <v>-7.4050267974924502</v>
      </c>
      <c r="BR43" s="58">
        <f t="shared" si="154"/>
        <v>5474211.3600000013</v>
      </c>
      <c r="BS43" s="443">
        <f t="shared" si="169"/>
        <v>0.29447047282964967</v>
      </c>
      <c r="BT43" s="47">
        <f>BT25-BV25</f>
        <v>-1450039.9000000036</v>
      </c>
      <c r="BU43" s="391">
        <f t="shared" si="155"/>
        <v>-2.7056164840544747</v>
      </c>
      <c r="BV43" s="58">
        <f t="shared" si="156"/>
        <v>3027345.41</v>
      </c>
      <c r="BW43" s="443">
        <f t="shared" si="157"/>
        <v>-5.8885498406202901</v>
      </c>
      <c r="BX43" s="390">
        <f>BX25</f>
        <v>194859.65000000002</v>
      </c>
      <c r="BY43" s="440">
        <f t="shared" si="158"/>
        <v>-1.1775590911721008</v>
      </c>
      <c r="BZ43" s="58">
        <f>[1]RZIS!AD11</f>
        <v>4228919.4499999993</v>
      </c>
      <c r="CA43" s="47">
        <f t="shared" si="159"/>
        <v>850155.8900000006</v>
      </c>
      <c r="CB43" s="58">
        <f t="shared" si="159"/>
        <v>-619272.69000000041</v>
      </c>
      <c r="CC43" s="442">
        <v>-1097435.4999999995</v>
      </c>
      <c r="CD43" s="23">
        <v>2828634.7000000053</v>
      </c>
      <c r="CE43" s="47">
        <v>902264.39999999735</v>
      </c>
      <c r="CF43" s="23">
        <v>-562646.74</v>
      </c>
      <c r="CG43" s="442">
        <v>-1054029.8499999996</v>
      </c>
      <c r="CH43" s="23">
        <v>801701.86000000127</v>
      </c>
      <c r="CI43" s="47">
        <v>-1388429.8700000015</v>
      </c>
      <c r="CJ43" s="23">
        <v>-1329038.8399999992</v>
      </c>
      <c r="CK43" s="441">
        <v>-823547.90000000014</v>
      </c>
      <c r="CL43" s="23">
        <v>4079570.04</v>
      </c>
      <c r="CM43" s="47">
        <v>142831.77000000002</v>
      </c>
      <c r="CN43" s="23">
        <v>-771982.24000000022</v>
      </c>
      <c r="CO43" s="47">
        <v>-2006752.75</v>
      </c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</row>
    <row r="44" spans="1:129" ht="27.9" customHeight="1">
      <c r="A44" s="432" t="s">
        <v>136</v>
      </c>
      <c r="B44" s="58">
        <f t="shared" si="160"/>
        <v>32947708.330000002</v>
      </c>
      <c r="C44" s="443">
        <f t="shared" si="109"/>
        <v>6.3621497496860346</v>
      </c>
      <c r="D44" s="390">
        <f>D26</f>
        <v>1859366.94</v>
      </c>
      <c r="E44" s="440">
        <f>(D44/L44)-1</f>
        <v>0.17079766382106465</v>
      </c>
      <c r="F44" s="58">
        <f t="shared" si="111"/>
        <v>17844371.089999989</v>
      </c>
      <c r="G44" s="443">
        <f t="shared" si="112"/>
        <v>-0.56275471986583192</v>
      </c>
      <c r="H44" s="390">
        <f t="shared" si="113"/>
        <v>21591831.990000002</v>
      </c>
      <c r="I44" s="493">
        <f t="shared" si="161"/>
        <v>-7.2182182275267035</v>
      </c>
      <c r="J44" s="58">
        <f t="shared" si="114"/>
        <v>4475283.6399999997</v>
      </c>
      <c r="K44" s="443">
        <f t="shared" si="115"/>
        <v>-1.931840971433886</v>
      </c>
      <c r="L44" s="390">
        <f>L26</f>
        <v>1588119.79</v>
      </c>
      <c r="M44" s="440">
        <f>(L44/T44)-1</f>
        <v>-1.4280675329749606</v>
      </c>
      <c r="N44" s="58">
        <f t="shared" si="117"/>
        <v>40810894.710000001</v>
      </c>
      <c r="O44" s="443">
        <f t="shared" si="118"/>
        <v>6.6349684443719434</v>
      </c>
      <c r="P44" s="390">
        <f t="shared" si="119"/>
        <v>-3472350.3100000005</v>
      </c>
      <c r="Q44" s="493">
        <f t="shared" si="162"/>
        <v>-5.6887302878708135E-2</v>
      </c>
      <c r="R44" s="58">
        <f t="shared" si="120"/>
        <v>-4802625.96</v>
      </c>
      <c r="S44" s="443">
        <f t="shared" si="163"/>
        <v>1.5124910217749177</v>
      </c>
      <c r="T44" s="390">
        <f>T26</f>
        <v>-3709974.87</v>
      </c>
      <c r="U44" s="440">
        <f>(T44/AB44)-1</f>
        <v>-2.6069290165701062</v>
      </c>
      <c r="V44" s="58">
        <f t="shared" si="122"/>
        <v>5345260.43</v>
      </c>
      <c r="W44" s="443">
        <f t="shared" si="123"/>
        <v>-7.3064198349783172E-2</v>
      </c>
      <c r="X44" s="390">
        <f t="shared" si="124"/>
        <v>-3681797.86</v>
      </c>
      <c r="Y44" s="493">
        <f t="shared" si="125"/>
        <v>-1.0528354757820546E-2</v>
      </c>
      <c r="Z44" s="58">
        <f t="shared" si="126"/>
        <v>-1911499.75</v>
      </c>
      <c r="AA44" s="443">
        <f t="shared" si="127"/>
        <v>-0.24771948187429138</v>
      </c>
      <c r="AB44" s="390">
        <f>AB26</f>
        <v>2308736</v>
      </c>
      <c r="AC44" s="440">
        <f t="shared" si="128"/>
        <v>-1.9520739736127741</v>
      </c>
      <c r="AD44" s="58">
        <f t="shared" si="129"/>
        <v>5766591.8400000008</v>
      </c>
      <c r="AE44" s="443">
        <f t="shared" si="130"/>
        <v>8.5881655408419855E-2</v>
      </c>
      <c r="AF44" s="390">
        <f t="shared" si="131"/>
        <v>-3720973.5900000008</v>
      </c>
      <c r="AG44" s="493">
        <f t="shared" si="132"/>
        <v>5.4585812893901853</v>
      </c>
      <c r="AH44" s="58">
        <f t="shared" si="133"/>
        <v>-2540940.1199999996</v>
      </c>
      <c r="AI44" s="443">
        <f t="shared" si="134"/>
        <v>-1.7186755788385155</v>
      </c>
      <c r="AJ44" s="390">
        <f>AJ26</f>
        <v>-2424954.4300000002</v>
      </c>
      <c r="AK44" s="440">
        <f>(AJ44/AR44)-1</f>
        <v>-0.32002175713291514</v>
      </c>
      <c r="AL44" s="58">
        <f t="shared" si="135"/>
        <v>5310515.9400000004</v>
      </c>
      <c r="AM44" s="443">
        <f t="shared" si="136"/>
        <v>1.5912217419407453</v>
      </c>
      <c r="AN44" s="390">
        <f t="shared" si="137"/>
        <v>-576128.63</v>
      </c>
      <c r="AO44" s="493">
        <f t="shared" si="138"/>
        <v>-0.80042514502275919</v>
      </c>
      <c r="AP44" s="58">
        <f t="shared" si="139"/>
        <v>3535587.12</v>
      </c>
      <c r="AQ44" s="443">
        <f t="shared" si="170"/>
        <v>-13.542411836254306</v>
      </c>
      <c r="AR44" s="390">
        <f>AR26</f>
        <v>-3566223.56</v>
      </c>
      <c r="AS44" s="440">
        <f t="shared" si="140"/>
        <v>-3.5960428770097326</v>
      </c>
      <c r="AT44" s="58">
        <f t="shared" si="141"/>
        <v>2049425.51</v>
      </c>
      <c r="AU44" s="443">
        <f t="shared" si="142"/>
        <v>-0.77240057943821216</v>
      </c>
      <c r="AV44" s="390">
        <f t="shared" si="143"/>
        <v>-2886779.65</v>
      </c>
      <c r="AW44" s="493">
        <f t="shared" si="144"/>
        <v>0.24359672730834458</v>
      </c>
      <c r="AX44" s="58">
        <f t="shared" si="145"/>
        <v>-281890.53000000003</v>
      </c>
      <c r="AY44" s="443">
        <f t="shared" si="171"/>
        <v>-0.87609944612745783</v>
      </c>
      <c r="AZ44" s="390">
        <f>AZ26</f>
        <v>1373715.2</v>
      </c>
      <c r="BA44" s="440">
        <f t="shared" si="146"/>
        <v>-1.6322536461075661</v>
      </c>
      <c r="BB44" s="58">
        <f t="shared" si="147"/>
        <v>9004528.6799999997</v>
      </c>
      <c r="BC44" s="443">
        <f t="shared" si="148"/>
        <v>9.8419128557886779</v>
      </c>
      <c r="BD44" s="390">
        <f t="shared" si="149"/>
        <v>-2321314.9300000006</v>
      </c>
      <c r="BE44" s="440">
        <f t="shared" si="150"/>
        <v>19.557451388356153</v>
      </c>
      <c r="BF44" s="58">
        <f t="shared" si="151"/>
        <v>-2275135.3499999992</v>
      </c>
      <c r="BG44" s="443">
        <f t="shared" si="164"/>
        <v>-0.23393338718758705</v>
      </c>
      <c r="BH44" s="390">
        <f>BH26</f>
        <v>-2172728.0000000005</v>
      </c>
      <c r="BI44" s="440">
        <f t="shared" si="165"/>
        <v>0.59764352712261148</v>
      </c>
      <c r="BJ44" s="58">
        <f t="shared" si="152"/>
        <v>830529.52</v>
      </c>
      <c r="BK44" s="443">
        <f t="shared" si="166"/>
        <v>-0.76520252675507638</v>
      </c>
      <c r="BL44" s="47">
        <f>BL26-BN26</f>
        <v>-112918.42000000086</v>
      </c>
      <c r="BM44" s="391">
        <f t="shared" si="172"/>
        <v>-0.9257447354207522</v>
      </c>
      <c r="BN44" s="58">
        <f t="shared" si="153"/>
        <v>-2969892.3200000003</v>
      </c>
      <c r="BO44" s="443">
        <f t="shared" si="167"/>
        <v>-2.027216979597819</v>
      </c>
      <c r="BP44" s="390">
        <f>BP26</f>
        <v>-1359957.9399999997</v>
      </c>
      <c r="BQ44" s="440">
        <f t="shared" si="168"/>
        <v>-31.201736964493843</v>
      </c>
      <c r="BR44" s="58">
        <f t="shared" si="154"/>
        <v>3537216.6000000015</v>
      </c>
      <c r="BS44" s="443">
        <f t="shared" si="169"/>
        <v>-0.21016183878123329</v>
      </c>
      <c r="BT44" s="47">
        <f>BT26-BV26</f>
        <v>-1520678.9800000016</v>
      </c>
      <c r="BU44" s="391">
        <f t="shared" si="155"/>
        <v>-2.7555738884934842</v>
      </c>
      <c r="BV44" s="58">
        <f t="shared" si="156"/>
        <v>2891202.5199999982</v>
      </c>
      <c r="BW44" s="443">
        <f t="shared" si="157"/>
        <v>-7.7029764022375744</v>
      </c>
      <c r="BX44" s="390">
        <f>BX26</f>
        <v>45029.130000000034</v>
      </c>
      <c r="BY44" s="440">
        <f t="shared" si="158"/>
        <v>-1.0413605360671532</v>
      </c>
      <c r="BZ44" s="58">
        <f>[1]RZIS!AD14</f>
        <v>4478406.8099999987</v>
      </c>
      <c r="CA44" s="47">
        <f t="shared" si="159"/>
        <v>866200.5000000007</v>
      </c>
      <c r="CB44" s="58">
        <f t="shared" si="159"/>
        <v>-431331.15000000037</v>
      </c>
      <c r="CC44" s="442">
        <v>-1088697.9299999997</v>
      </c>
      <c r="CD44" s="23">
        <v>3040847.4500000048</v>
      </c>
      <c r="CE44" s="47">
        <v>900511.04999999737</v>
      </c>
      <c r="CF44" s="23">
        <v>-551965.80000000005</v>
      </c>
      <c r="CG44" s="442">
        <v>-397819.9499999996</v>
      </c>
      <c r="CH44" s="23">
        <v>-152781.06999999844</v>
      </c>
      <c r="CI44" s="47">
        <v>-381048.40000000177</v>
      </c>
      <c r="CJ44" s="23">
        <v>-1480345.8499999992</v>
      </c>
      <c r="CK44" s="441">
        <v>-753959.83000000019</v>
      </c>
      <c r="CL44" s="23">
        <v>4550705.57</v>
      </c>
      <c r="CM44" s="47">
        <v>530684.88999999966</v>
      </c>
      <c r="CN44" s="23">
        <v>-787767.23</v>
      </c>
      <c r="CO44" s="47">
        <v>-2054945.98</v>
      </c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</row>
    <row r="45" spans="1:129" ht="27.9" customHeight="1">
      <c r="A45" s="432" t="s">
        <v>5</v>
      </c>
      <c r="B45" s="58">
        <f>B27-D27</f>
        <v>814925.79</v>
      </c>
      <c r="C45" s="443">
        <f t="shared" si="109"/>
        <v>0.25546694335672315</v>
      </c>
      <c r="D45" s="390">
        <f>D27</f>
        <v>804430.05</v>
      </c>
      <c r="E45" s="440">
        <f>(D45/L45)-1</f>
        <v>0.23813167983566408</v>
      </c>
      <c r="F45" s="58">
        <f t="shared" si="111"/>
        <v>664868.30000000028</v>
      </c>
      <c r="G45" s="443">
        <f t="shared" si="112"/>
        <v>-4.331588451505175E-2</v>
      </c>
      <c r="H45" s="390">
        <f t="shared" si="113"/>
        <v>655583.7899999998</v>
      </c>
      <c r="I45" s="493">
        <f t="shared" si="161"/>
        <v>2.9586017662579289E-2</v>
      </c>
      <c r="J45" s="58">
        <f t="shared" si="114"/>
        <v>649101.75000000012</v>
      </c>
      <c r="K45" s="443">
        <f t="shared" si="115"/>
        <v>5.3300530463824769E-2</v>
      </c>
      <c r="L45" s="390">
        <f>L27</f>
        <v>649712.84</v>
      </c>
      <c r="M45" s="440">
        <f>(L45/T45)-1</f>
        <v>1.7601575053845409E-2</v>
      </c>
      <c r="N45" s="58">
        <f t="shared" si="117"/>
        <v>694971.60999999987</v>
      </c>
      <c r="O45" s="443">
        <f t="shared" si="118"/>
        <v>3.711270652257137E-2</v>
      </c>
      <c r="P45" s="390">
        <f t="shared" si="119"/>
        <v>636745.04</v>
      </c>
      <c r="Q45" s="493">
        <f t="shared" si="162"/>
        <v>-3.1531938287380767E-2</v>
      </c>
      <c r="R45" s="58">
        <f t="shared" si="120"/>
        <v>616255.02999999991</v>
      </c>
      <c r="S45" s="443">
        <f t="shared" si="163"/>
        <v>-0.11374844159418362</v>
      </c>
      <c r="T45" s="390">
        <f>T27</f>
        <v>638474.68000000005</v>
      </c>
      <c r="U45" s="440">
        <f>(T45/AB45)-1</f>
        <v>-6.7270219114876073E-2</v>
      </c>
      <c r="V45" s="58">
        <f t="shared" si="122"/>
        <v>670102.29999999981</v>
      </c>
      <c r="W45" s="443">
        <f t="shared" si="123"/>
        <v>9.0253940926628529E-2</v>
      </c>
      <c r="X45" s="390">
        <f t="shared" si="124"/>
        <v>657476.55000000005</v>
      </c>
      <c r="Y45" s="493">
        <f t="shared" si="125"/>
        <v>6.7335717659682048E-2</v>
      </c>
      <c r="Z45" s="58">
        <f t="shared" si="126"/>
        <v>695350.00999999989</v>
      </c>
      <c r="AA45" s="443">
        <f t="shared" si="127"/>
        <v>0.37095622139668016</v>
      </c>
      <c r="AB45" s="390">
        <f>AB27</f>
        <v>684522.67</v>
      </c>
      <c r="AC45" s="440">
        <f t="shared" si="128"/>
        <v>0.67731093693029676</v>
      </c>
      <c r="AD45" s="58">
        <f t="shared" si="129"/>
        <v>614629.56000000006</v>
      </c>
      <c r="AE45" s="443">
        <f t="shared" si="130"/>
        <v>0.4632341881533435</v>
      </c>
      <c r="AF45" s="390">
        <f t="shared" si="131"/>
        <v>615997.89000000013</v>
      </c>
      <c r="AG45" s="493">
        <f t="shared" si="132"/>
        <v>0.45310993956079937</v>
      </c>
      <c r="AH45" s="58">
        <f t="shared" si="133"/>
        <v>507200.73999999993</v>
      </c>
      <c r="AI45" s="443">
        <f t="shared" si="134"/>
        <v>6.464608944433059E-2</v>
      </c>
      <c r="AJ45" s="390">
        <f>AJ27</f>
        <v>408107.2</v>
      </c>
      <c r="AK45" s="440">
        <f t="shared" ref="AK45:AK46" si="173">(AJ45/AR45)-1</f>
        <v>-0.13504198066762851</v>
      </c>
      <c r="AL45" s="58">
        <f t="shared" si="135"/>
        <v>420048.66000000015</v>
      </c>
      <c r="AM45" s="443">
        <f t="shared" si="136"/>
        <v>-1.1980628689986506E-2</v>
      </c>
      <c r="AN45" s="390">
        <f t="shared" si="137"/>
        <v>423916.91999999993</v>
      </c>
      <c r="AO45" s="493">
        <f t="shared" si="138"/>
        <v>-2.4932620910084524E-2</v>
      </c>
      <c r="AP45" s="58">
        <f t="shared" si="139"/>
        <v>476403.14</v>
      </c>
      <c r="AQ45" s="443">
        <f t="shared" si="170"/>
        <v>7.2631657181796649E-2</v>
      </c>
      <c r="AR45" s="390">
        <f>AR27</f>
        <v>471823.13</v>
      </c>
      <c r="AS45" s="440">
        <f t="shared" si="140"/>
        <v>3.0885524835061018E-2</v>
      </c>
      <c r="AT45" s="58">
        <f t="shared" si="141"/>
        <v>425142.13000000012</v>
      </c>
      <c r="AU45" s="443">
        <f t="shared" si="142"/>
        <v>-0.12035598485672494</v>
      </c>
      <c r="AV45" s="390">
        <f t="shared" si="143"/>
        <v>434756.53999999992</v>
      </c>
      <c r="AW45" s="493">
        <f t="shared" si="144"/>
        <v>-0.10621574375382192</v>
      </c>
      <c r="AX45" s="58">
        <f t="shared" si="145"/>
        <v>444144.21000000008</v>
      </c>
      <c r="AY45" s="443">
        <f t="shared" si="171"/>
        <v>-0.11169461336711517</v>
      </c>
      <c r="AZ45" s="390">
        <f>AZ27</f>
        <v>457687.22</v>
      </c>
      <c r="BA45" s="440">
        <f t="shared" si="146"/>
        <v>-4.2996461120807683E-2</v>
      </c>
      <c r="BB45" s="58">
        <f t="shared" si="147"/>
        <v>483311.57000000007</v>
      </c>
      <c r="BC45" s="443">
        <f t="shared" si="148"/>
        <v>1.389168275243291E-2</v>
      </c>
      <c r="BD45" s="390">
        <f t="shared" si="149"/>
        <v>486422.24</v>
      </c>
      <c r="BE45" s="440">
        <f t="shared" si="150"/>
        <v>2.6562179345888781E-2</v>
      </c>
      <c r="BF45" s="58">
        <f t="shared" si="151"/>
        <v>499990.45</v>
      </c>
      <c r="BG45" s="443">
        <f t="shared" si="164"/>
        <v>0.17851273330725603</v>
      </c>
      <c r="BH45" s="390">
        <f>BH27</f>
        <v>478250.29</v>
      </c>
      <c r="BI45" s="440">
        <f t="shared" si="165"/>
        <v>0.17440608607437369</v>
      </c>
      <c r="BJ45" s="58">
        <f t="shared" si="152"/>
        <v>476689.55000000005</v>
      </c>
      <c r="BK45" s="443">
        <f t="shared" si="166"/>
        <v>0.13668013925650269</v>
      </c>
      <c r="BL45" s="47">
        <f>BL27-BN27</f>
        <v>473836.11999999988</v>
      </c>
      <c r="BM45" s="391">
        <f t="shared" si="172"/>
        <v>0.18081620476673077</v>
      </c>
      <c r="BN45" s="58">
        <f t="shared" si="153"/>
        <v>424255.45000000007</v>
      </c>
      <c r="BO45" s="443">
        <f t="shared" si="167"/>
        <v>6.4867961081025882E-2</v>
      </c>
      <c r="BP45" s="390">
        <f>BP27</f>
        <v>407227.36</v>
      </c>
      <c r="BQ45" s="440">
        <f t="shared" si="168"/>
        <v>3.0611900140720127E-2</v>
      </c>
      <c r="BR45" s="58">
        <f t="shared" si="154"/>
        <v>419370.00000000047</v>
      </c>
      <c r="BS45" s="443">
        <f t="shared" si="169"/>
        <v>7.1312587634984048E-3</v>
      </c>
      <c r="BT45" s="47">
        <f>BT27-BV27</f>
        <v>401278.46999999951</v>
      </c>
      <c r="BU45" s="391">
        <f t="shared" si="155"/>
        <v>0.21729185323532185</v>
      </c>
      <c r="BV45" s="58">
        <f t="shared" si="156"/>
        <v>398411.31999999995</v>
      </c>
      <c r="BW45" s="443">
        <f t="shared" si="157"/>
        <v>0.21100842250056573</v>
      </c>
      <c r="BX45" s="390">
        <f>BX27</f>
        <v>395131.63</v>
      </c>
      <c r="BY45" s="440">
        <f t="shared" si="158"/>
        <v>0.19895424724748079</v>
      </c>
      <c r="BZ45" s="58">
        <f>BZ27-CA27</f>
        <v>416400.54000000004</v>
      </c>
      <c r="CA45" s="47">
        <f t="shared" si="159"/>
        <v>329648.52999999991</v>
      </c>
      <c r="CB45" s="58">
        <f t="shared" si="159"/>
        <v>328991.37</v>
      </c>
      <c r="CC45" s="442">
        <v>329563.56000000006</v>
      </c>
      <c r="CD45" s="23">
        <v>336823.49999999919</v>
      </c>
      <c r="CE45" s="47">
        <v>308895.90000000072</v>
      </c>
      <c r="CF45" s="23">
        <v>327792.75000000006</v>
      </c>
      <c r="CG45" s="442">
        <v>333051.08</v>
      </c>
      <c r="CH45" s="23">
        <v>332870.22999999986</v>
      </c>
      <c r="CI45" s="47">
        <v>332850.87</v>
      </c>
      <c r="CJ45" s="23">
        <v>321894.41000000003</v>
      </c>
      <c r="CK45" s="441">
        <v>318398.39</v>
      </c>
      <c r="CL45" s="23">
        <v>320080.60999999964</v>
      </c>
      <c r="CM45" s="47">
        <v>331030.81999999983</v>
      </c>
      <c r="CN45" s="23">
        <v>319515.3600000008</v>
      </c>
      <c r="CO45" s="47">
        <v>329826.80999999959</v>
      </c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</row>
    <row r="46" spans="1:129" ht="27.9" customHeight="1">
      <c r="A46" s="432" t="s">
        <v>1</v>
      </c>
      <c r="B46" s="58">
        <f>B28-D28</f>
        <v>33762634.120000005</v>
      </c>
      <c r="C46" s="443">
        <f t="shared" si="109"/>
        <v>5.5886211809685937</v>
      </c>
      <c r="D46" s="390">
        <f>D44+D45</f>
        <v>2663796.9900000002</v>
      </c>
      <c r="E46" s="440">
        <f>(D46/L46)-1</f>
        <v>0.19034683572381383</v>
      </c>
      <c r="F46" s="58">
        <f t="shared" si="111"/>
        <v>18509239.389999989</v>
      </c>
      <c r="G46" s="443">
        <f t="shared" si="112"/>
        <v>-0.55405726874128303</v>
      </c>
      <c r="H46" s="390">
        <f t="shared" si="113"/>
        <v>22247415.780000001</v>
      </c>
      <c r="I46" s="493">
        <f t="shared" si="161"/>
        <v>-8.8457379154186704</v>
      </c>
      <c r="J46" s="58">
        <f t="shared" si="114"/>
        <v>5124385.3899999997</v>
      </c>
      <c r="K46" s="443">
        <f t="shared" si="115"/>
        <v>-2.2240638671738528</v>
      </c>
      <c r="L46" s="390">
        <f>L44+L45</f>
        <v>2237832.63</v>
      </c>
      <c r="M46" s="440">
        <f>(L46/T46)-1</f>
        <v>-1.7285796814487582</v>
      </c>
      <c r="N46" s="58">
        <f t="shared" si="117"/>
        <v>41505866.32</v>
      </c>
      <c r="O46" s="443">
        <f t="shared" si="118"/>
        <v>5.8999773052754882</v>
      </c>
      <c r="P46" s="390">
        <f t="shared" si="119"/>
        <v>-2835605.2700000005</v>
      </c>
      <c r="Q46" s="493">
        <f t="shared" si="162"/>
        <v>-6.2399467733803449E-2</v>
      </c>
      <c r="R46" s="58">
        <f t="shared" si="120"/>
        <v>-4186370.93</v>
      </c>
      <c r="S46" s="443">
        <f t="shared" si="163"/>
        <v>2.4423153599490144</v>
      </c>
      <c r="T46" s="390">
        <f>T44+T45</f>
        <v>-3071500.19</v>
      </c>
      <c r="U46" s="440">
        <f>(T46/AB46)-1</f>
        <v>-2.026139244424205</v>
      </c>
      <c r="V46" s="58">
        <f t="shared" si="122"/>
        <v>6015362.7299999995</v>
      </c>
      <c r="W46" s="443">
        <f t="shared" si="123"/>
        <v>-5.7333643054604089E-2</v>
      </c>
      <c r="X46" s="390">
        <f t="shared" si="124"/>
        <v>-3024321.3099999996</v>
      </c>
      <c r="Y46" s="493">
        <f t="shared" si="125"/>
        <v>-2.5975852242579922E-2</v>
      </c>
      <c r="Z46" s="58">
        <f t="shared" si="126"/>
        <v>-1216149.74</v>
      </c>
      <c r="AA46" s="443">
        <f t="shared" si="127"/>
        <v>-0.40201298555766762</v>
      </c>
      <c r="AB46" s="390">
        <f>AB44+AB45</f>
        <v>2993258.67</v>
      </c>
      <c r="AC46" s="440">
        <f t="shared" si="128"/>
        <v>-2.4841276153573615</v>
      </c>
      <c r="AD46" s="58">
        <f t="shared" si="129"/>
        <v>6381221.4000000004</v>
      </c>
      <c r="AE46" s="443">
        <f t="shared" si="130"/>
        <v>0.11354148245706885</v>
      </c>
      <c r="AF46" s="390">
        <f t="shared" si="131"/>
        <v>-3104975.7000000007</v>
      </c>
      <c r="AG46" s="493">
        <f t="shared" si="132"/>
        <v>19.39905931021995</v>
      </c>
      <c r="AH46" s="58">
        <f t="shared" si="133"/>
        <v>-2033739.3799999997</v>
      </c>
      <c r="AI46" s="443">
        <f t="shared" si="134"/>
        <v>-1.5069153333388201</v>
      </c>
      <c r="AJ46" s="390">
        <f>AJ44+AJ45</f>
        <v>-2016847.2300000002</v>
      </c>
      <c r="AK46" s="440">
        <f t="shared" si="173"/>
        <v>-0.34822681303725123</v>
      </c>
      <c r="AL46" s="58">
        <f t="shared" si="135"/>
        <v>5730564.6000000006</v>
      </c>
      <c r="AM46" s="443">
        <f t="shared" si="136"/>
        <v>1.3157841828077896</v>
      </c>
      <c r="AN46" s="390">
        <f t="shared" si="137"/>
        <v>-152211.71000000008</v>
      </c>
      <c r="AO46" s="493">
        <f t="shared" si="138"/>
        <v>-0.93792403122986878</v>
      </c>
      <c r="AP46" s="58">
        <f t="shared" si="139"/>
        <v>4011990.2600000002</v>
      </c>
      <c r="AQ46" s="443">
        <f t="shared" si="170"/>
        <v>23.726651870083909</v>
      </c>
      <c r="AR46" s="390">
        <f>AR44+AR45</f>
        <v>-3094400.43</v>
      </c>
      <c r="AS46" s="440">
        <f t="shared" si="140"/>
        <v>-2.6896343459019785</v>
      </c>
      <c r="AT46" s="58">
        <f t="shared" si="141"/>
        <v>2474567.64</v>
      </c>
      <c r="AU46" s="443">
        <f t="shared" si="142"/>
        <v>-0.73918535991370637</v>
      </c>
      <c r="AV46" s="390">
        <f t="shared" si="143"/>
        <v>-2452023.1100000003</v>
      </c>
      <c r="AW46" s="493">
        <f t="shared" si="144"/>
        <v>0.33633052404824748</v>
      </c>
      <c r="AX46" s="58">
        <f t="shared" si="145"/>
        <v>162253.68000000017</v>
      </c>
      <c r="AY46" s="443">
        <f t="shared" si="171"/>
        <v>-1.0914030623640922</v>
      </c>
      <c r="AZ46" s="390">
        <f>AZ44+AZ45</f>
        <v>1831402.42</v>
      </c>
      <c r="BA46" s="440">
        <f t="shared" si="146"/>
        <v>-2.0808064391711589</v>
      </c>
      <c r="BB46" s="58">
        <f t="shared" si="147"/>
        <v>9487840.25</v>
      </c>
      <c r="BC46" s="443">
        <f t="shared" si="148"/>
        <v>6.2580338427896391</v>
      </c>
      <c r="BD46" s="390">
        <f t="shared" si="149"/>
        <v>-1834892.6900000013</v>
      </c>
      <c r="BE46" s="440">
        <f t="shared" si="150"/>
        <v>-6.0839642666458484</v>
      </c>
      <c r="BF46" s="58">
        <f t="shared" si="151"/>
        <v>-1775144.899999999</v>
      </c>
      <c r="BG46" s="443">
        <f t="shared" si="164"/>
        <v>-0.30267159431894974</v>
      </c>
      <c r="BH46" s="390">
        <f>BH44+BH45</f>
        <v>-1694477.7100000004</v>
      </c>
      <c r="BI46" s="440">
        <f t="shared" si="165"/>
        <v>0.77854867427473673</v>
      </c>
      <c r="BJ46" s="58">
        <f t="shared" si="152"/>
        <v>1307219.0700000003</v>
      </c>
      <c r="BK46" s="443">
        <f t="shared" si="166"/>
        <v>-0.66960938754632604</v>
      </c>
      <c r="BL46" s="390">
        <f t="shared" ref="BL46" si="174">BL44+BL45</f>
        <v>360917.69999999902</v>
      </c>
      <c r="BM46" s="391">
        <f t="shared" si="172"/>
        <v>-1.3224205248932739</v>
      </c>
      <c r="BN46" s="58">
        <f t="shared" si="153"/>
        <v>-2545636.87</v>
      </c>
      <c r="BO46" s="443">
        <f t="shared" si="167"/>
        <v>-1.7738406371733899</v>
      </c>
      <c r="BP46" s="390">
        <f>BP44+BP45</f>
        <v>-952730.57999999973</v>
      </c>
      <c r="BQ46" s="440">
        <f t="shared" si="168"/>
        <v>-3.1645059409657503</v>
      </c>
      <c r="BR46" s="58">
        <f t="shared" si="154"/>
        <v>3956586.6000000015</v>
      </c>
      <c r="BS46" s="443">
        <f t="shared" si="169"/>
        <v>-0.19167674699189075</v>
      </c>
      <c r="BT46" s="390">
        <f t="shared" ref="BT46" si="175">BT44+BT45</f>
        <v>-1119400.5100000021</v>
      </c>
      <c r="BU46" s="391">
        <f t="shared" si="155"/>
        <v>-1.9360717631723139</v>
      </c>
      <c r="BV46" s="58">
        <f t="shared" si="156"/>
        <v>3289613.839999998</v>
      </c>
      <c r="BW46" s="443">
        <f t="shared" si="157"/>
        <v>-33.144038613332818</v>
      </c>
      <c r="BX46" s="390">
        <f>BX44+BX45</f>
        <v>440160.76</v>
      </c>
      <c r="BY46" s="440">
        <f t="shared" si="158"/>
        <v>-1.5798193012918125</v>
      </c>
      <c r="BZ46" s="58">
        <f>BZ44+BZ45</f>
        <v>4894807.3499999987</v>
      </c>
      <c r="CA46" s="390">
        <f t="shared" ref="CA46" si="176">CA44+CA45</f>
        <v>1195849.0300000007</v>
      </c>
      <c r="CB46" s="58">
        <f>CB44+CB45</f>
        <v>-102339.78000000038</v>
      </c>
      <c r="CC46" s="442">
        <f>CC44+CC45</f>
        <v>-759134.36999999965</v>
      </c>
      <c r="CD46" s="58">
        <f t="shared" ref="CD46:CO46" si="177">CD44+CD45</f>
        <v>3377670.9500000039</v>
      </c>
      <c r="CE46" s="390">
        <f t="shared" si="177"/>
        <v>1209406.9499999981</v>
      </c>
      <c r="CF46" s="58">
        <f t="shared" si="177"/>
        <v>-224173.05</v>
      </c>
      <c r="CG46" s="442">
        <f t="shared" si="177"/>
        <v>-64768.869999999588</v>
      </c>
      <c r="CH46" s="58">
        <f t="shared" si="177"/>
        <v>180089.16000000143</v>
      </c>
      <c r="CI46" s="390">
        <f t="shared" si="177"/>
        <v>-48197.530000001774</v>
      </c>
      <c r="CJ46" s="58">
        <f t="shared" si="177"/>
        <v>-1158451.439999999</v>
      </c>
      <c r="CK46" s="442">
        <f t="shared" si="177"/>
        <v>-435561.44000000018</v>
      </c>
      <c r="CL46" s="58">
        <f t="shared" si="177"/>
        <v>4870786.18</v>
      </c>
      <c r="CM46" s="390">
        <f t="shared" si="177"/>
        <v>861715.7099999995</v>
      </c>
      <c r="CN46" s="58">
        <f t="shared" si="177"/>
        <v>-468251.86999999918</v>
      </c>
      <c r="CO46" s="390">
        <f t="shared" si="177"/>
        <v>-1725119.1700000004</v>
      </c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</row>
    <row r="47" spans="1:129" ht="27.9" customHeight="1">
      <c r="A47" s="432" t="s">
        <v>6</v>
      </c>
      <c r="B47" s="58">
        <f t="shared" si="160"/>
        <v>33539452.659999996</v>
      </c>
      <c r="C47" s="443">
        <f t="shared" si="109"/>
        <v>7.6771888949086886</v>
      </c>
      <c r="D47" s="390">
        <f>D29</f>
        <v>2648813.3199999998</v>
      </c>
      <c r="E47" s="440">
        <f>(D47/L47)-1</f>
        <v>0.95928809468260923</v>
      </c>
      <c r="F47" s="58">
        <f t="shared" si="111"/>
        <v>39743622.909999989</v>
      </c>
      <c r="G47" s="443">
        <f t="shared" si="112"/>
        <v>0.14943323409405584</v>
      </c>
      <c r="H47" s="390">
        <f t="shared" si="113"/>
        <v>-2568915.12</v>
      </c>
      <c r="I47" s="493">
        <f t="shared" si="161"/>
        <v>-0.34145698067090846</v>
      </c>
      <c r="J47" s="58">
        <f t="shared" si="114"/>
        <v>3865244.04</v>
      </c>
      <c r="K47" s="443">
        <f t="shared" si="115"/>
        <v>-1.6977424064429245</v>
      </c>
      <c r="L47" s="390">
        <f>L29</f>
        <v>1351926.41</v>
      </c>
      <c r="M47" s="440">
        <f>(L47/T47)-1</f>
        <v>-1.3124406430129769</v>
      </c>
      <c r="N47" s="58">
        <f t="shared" si="117"/>
        <v>34576712.879999995</v>
      </c>
      <c r="O47" s="443">
        <f t="shared" si="118"/>
        <v>7.0312300633719396</v>
      </c>
      <c r="P47" s="390">
        <f t="shared" si="119"/>
        <v>-3900907.0700000003</v>
      </c>
      <c r="Q47" s="493">
        <f t="shared" si="162"/>
        <v>-5.2094271429141026E-2</v>
      </c>
      <c r="R47" s="58">
        <f t="shared" si="120"/>
        <v>-5539643.29</v>
      </c>
      <c r="S47" s="443">
        <f t="shared" si="163"/>
        <v>1.6666894055890058</v>
      </c>
      <c r="T47" s="390">
        <f>T29</f>
        <v>-4326986.3899999997</v>
      </c>
      <c r="U47" s="440">
        <f>(T47/AB47)-1</f>
        <v>-2.9197588798333642</v>
      </c>
      <c r="V47" s="58">
        <f t="shared" si="122"/>
        <v>4305282.33</v>
      </c>
      <c r="W47" s="443">
        <f t="shared" si="123"/>
        <v>-0.20933710832444885</v>
      </c>
      <c r="X47" s="390">
        <f t="shared" si="124"/>
        <v>-4115290.11</v>
      </c>
      <c r="Y47" s="493">
        <f t="shared" si="125"/>
        <v>0.14710288078356015</v>
      </c>
      <c r="Z47" s="58">
        <f t="shared" si="126"/>
        <v>-2077348.5199999998</v>
      </c>
      <c r="AA47" s="443">
        <f t="shared" si="127"/>
        <v>-0.23731222726370826</v>
      </c>
      <c r="AB47" s="390">
        <f>AB29</f>
        <v>2253921.7999999998</v>
      </c>
      <c r="AC47" s="440">
        <f t="shared" si="128"/>
        <v>-1.9320589018807317</v>
      </c>
      <c r="AD47" s="58">
        <f t="shared" si="129"/>
        <v>5445155.4199999999</v>
      </c>
      <c r="AE47" s="443">
        <f t="shared" si="130"/>
        <v>0.11687020411009041</v>
      </c>
      <c r="AF47" s="390">
        <f t="shared" si="131"/>
        <v>-3587551.0200000005</v>
      </c>
      <c r="AG47" s="493">
        <f t="shared" si="132"/>
        <v>9.3106904402850805</v>
      </c>
      <c r="AH47" s="58">
        <f t="shared" si="133"/>
        <v>-2723720.76</v>
      </c>
      <c r="AI47" s="443">
        <f t="shared" si="134"/>
        <v>-1.8123546954375809</v>
      </c>
      <c r="AJ47" s="390">
        <f>AJ29</f>
        <v>-2418218.2000000002</v>
      </c>
      <c r="AK47" s="440">
        <f t="shared" ref="AK47" si="178">(AJ47/AR47)-1</f>
        <v>-0.25634594877899997</v>
      </c>
      <c r="AL47" s="58">
        <f t="shared" si="135"/>
        <v>4875369.9400000004</v>
      </c>
      <c r="AM47" s="443">
        <f t="shared" si="136"/>
        <v>1.7000819289459037</v>
      </c>
      <c r="AN47" s="390">
        <f t="shared" si="137"/>
        <v>-347944.79000000004</v>
      </c>
      <c r="AO47" s="493">
        <f t="shared" si="138"/>
        <v>-0.87372099720379737</v>
      </c>
      <c r="AP47" s="58">
        <f t="shared" si="139"/>
        <v>3352871.32</v>
      </c>
      <c r="AQ47" s="443">
        <f t="shared" si="170"/>
        <v>-0.29510349627535892</v>
      </c>
      <c r="AR47" s="390">
        <f>AR29</f>
        <v>-3251805.32</v>
      </c>
      <c r="AS47" s="440">
        <f t="shared" si="140"/>
        <v>-3.4051887969154815</v>
      </c>
      <c r="AT47" s="58">
        <f t="shared" si="141"/>
        <v>1805637.7800000003</v>
      </c>
      <c r="AU47" s="443">
        <f t="shared" si="142"/>
        <v>-0.79726370062929841</v>
      </c>
      <c r="AV47" s="390">
        <f t="shared" si="143"/>
        <v>-2755365.3600000003</v>
      </c>
      <c r="AW47" s="493">
        <f t="shared" si="144"/>
        <v>0.15914253639292308</v>
      </c>
      <c r="AX47" s="58">
        <f t="shared" si="145"/>
        <v>4756544.12</v>
      </c>
      <c r="AY47" s="443">
        <f t="shared" si="171"/>
        <v>-3.3859252253305274</v>
      </c>
      <c r="AZ47" s="390">
        <f>AZ29</f>
        <v>1351995.87</v>
      </c>
      <c r="BA47" s="440">
        <f t="shared" si="146"/>
        <v>-1.566017308024847</v>
      </c>
      <c r="BB47" s="58">
        <f t="shared" si="147"/>
        <v>8906336.879999999</v>
      </c>
      <c r="BC47" s="443">
        <f t="shared" si="148"/>
        <v>16.522414956249737</v>
      </c>
      <c r="BD47" s="390">
        <f t="shared" si="149"/>
        <v>-2377072.0799999991</v>
      </c>
      <c r="BE47" s="440">
        <f t="shared" si="150"/>
        <v>14.26105649918637</v>
      </c>
      <c r="BF47" s="58">
        <f t="shared" si="151"/>
        <v>-1993584.7399999998</v>
      </c>
      <c r="BG47" s="443">
        <f t="shared" si="164"/>
        <v>-0.21813934525610668</v>
      </c>
      <c r="BH47" s="390">
        <f>BH29</f>
        <v>-2388612.2400000007</v>
      </c>
      <c r="BI47" s="440">
        <f t="shared" si="165"/>
        <v>0.43161387973650411</v>
      </c>
      <c r="BJ47" s="58">
        <f t="shared" si="152"/>
        <v>508282.49999999953</v>
      </c>
      <c r="BK47" s="443">
        <f t="shared" si="166"/>
        <v>-0.86106086174578467</v>
      </c>
      <c r="BL47" s="47">
        <f>BL29-BN29</f>
        <v>-155760.65000000037</v>
      </c>
      <c r="BM47" s="391">
        <f t="shared" si="172"/>
        <v>-0.89778627761566865</v>
      </c>
      <c r="BN47" s="58">
        <f t="shared" si="153"/>
        <v>-2549795.4499999997</v>
      </c>
      <c r="BO47" s="443">
        <f t="shared" si="167"/>
        <v>-1.9418793538679855</v>
      </c>
      <c r="BP47" s="390">
        <f>BP29</f>
        <v>-1668475.19</v>
      </c>
      <c r="BQ47" s="440">
        <f t="shared" si="168"/>
        <v>13.956695665846405</v>
      </c>
      <c r="BR47" s="58">
        <f t="shared" si="154"/>
        <v>3658310.4400000009</v>
      </c>
      <c r="BS47" s="443">
        <f t="shared" si="169"/>
        <v>-0.16893589704621048</v>
      </c>
      <c r="BT47" s="47">
        <f>BT29-BV29</f>
        <v>-1523872.2000000016</v>
      </c>
      <c r="BU47" s="391">
        <f t="shared" si="155"/>
        <v>-2.6512699021665149</v>
      </c>
      <c r="BV47" s="58">
        <f t="shared" si="156"/>
        <v>2707135.9399999981</v>
      </c>
      <c r="BW47" s="443">
        <f t="shared" si="157"/>
        <v>-5.4544457315487875</v>
      </c>
      <c r="BX47" s="390">
        <f>BX29</f>
        <v>-111553.72999999998</v>
      </c>
      <c r="BY47" s="440">
        <f t="shared" si="158"/>
        <v>-0.87357569593912299</v>
      </c>
      <c r="BZ47" s="58">
        <f>[1]RZIS!AD17</f>
        <v>4401959.3999999994</v>
      </c>
      <c r="CA47" s="47">
        <f>CA29-CB29</f>
        <v>922848.65000000061</v>
      </c>
      <c r="CB47" s="58">
        <f>CB29-CC29</f>
        <v>-607738.00000000023</v>
      </c>
      <c r="CC47" s="442">
        <v>-882375.66999999969</v>
      </c>
      <c r="CD47" s="23">
        <v>3210389.400000005</v>
      </c>
      <c r="CE47" s="47">
        <v>1341573.069999997</v>
      </c>
      <c r="CF47" s="23">
        <v>-701994.61999999988</v>
      </c>
      <c r="CG47" s="442">
        <v>-522851.60999999958</v>
      </c>
      <c r="CH47" s="23">
        <v>-202372.60999999847</v>
      </c>
      <c r="CI47" s="47">
        <v>-537281.56000000238</v>
      </c>
      <c r="CJ47" s="23">
        <v>-1902308.0899999989</v>
      </c>
      <c r="CK47" s="441">
        <v>-887509.62000000023</v>
      </c>
      <c r="CL47" s="23">
        <v>4158604.8899999997</v>
      </c>
      <c r="CM47" s="47">
        <v>205853.5</v>
      </c>
      <c r="CN47" s="23">
        <v>-1080523.2700000005</v>
      </c>
      <c r="CO47" s="47">
        <v>-2301146.0299999998</v>
      </c>
      <c r="CP47" s="379"/>
      <c r="CQ47" s="379"/>
      <c r="CR47" s="379"/>
      <c r="CS47" s="379"/>
      <c r="CT47" s="379"/>
      <c r="CU47" s="379"/>
      <c r="CV47" s="379"/>
      <c r="CW47" s="379"/>
      <c r="CX47" s="379"/>
      <c r="CY47" s="400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</row>
    <row r="48" spans="1:129" ht="27.9" customHeight="1">
      <c r="A48" s="432" t="s">
        <v>7</v>
      </c>
      <c r="B48" s="58">
        <f t="shared" si="160"/>
        <v>26764011.66</v>
      </c>
      <c r="C48" s="443">
        <f t="shared" si="109"/>
        <v>7.6193329182847016</v>
      </c>
      <c r="D48" s="390">
        <f>D30</f>
        <v>2162523.3199999998</v>
      </c>
      <c r="E48" s="440">
        <f>(D48/L48)-1</f>
        <v>0.96323635582922518</v>
      </c>
      <c r="F48" s="58">
        <f t="shared" si="111"/>
        <v>13608567.909999989</v>
      </c>
      <c r="G48" s="443">
        <f t="shared" si="112"/>
        <v>-0.50961347137167845</v>
      </c>
      <c r="H48" s="390">
        <f t="shared" si="113"/>
        <v>17202483.879999999</v>
      </c>
      <c r="I48" s="493">
        <f t="shared" si="161"/>
        <v>-5.5519042103709966</v>
      </c>
      <c r="J48" s="58">
        <f t="shared" si="114"/>
        <v>3105114.04</v>
      </c>
      <c r="K48" s="443">
        <f t="shared" si="115"/>
        <v>-1.8732804772151508</v>
      </c>
      <c r="L48" s="390">
        <f>L30</f>
        <v>1101509.4099999999</v>
      </c>
      <c r="M48" s="440">
        <f>(L48/T48)-1</f>
        <v>-1.3161752295492211</v>
      </c>
      <c r="N48" s="58">
        <f t="shared" si="117"/>
        <v>27750696.879999995</v>
      </c>
      <c r="O48" s="443">
        <f t="shared" si="118"/>
        <v>7.2640345564598388</v>
      </c>
      <c r="P48" s="390">
        <f t="shared" si="119"/>
        <v>-3779184.0700000003</v>
      </c>
      <c r="Q48" s="493">
        <f t="shared" si="162"/>
        <v>0.12393391220515859</v>
      </c>
      <c r="R48" s="58">
        <f t="shared" si="120"/>
        <v>-3555689.2899999996</v>
      </c>
      <c r="S48" s="443">
        <f t="shared" si="163"/>
        <v>0.95386274723743814</v>
      </c>
      <c r="T48" s="390">
        <f>T30</f>
        <v>-3483857.39</v>
      </c>
      <c r="U48" s="440">
        <f>(T48/AB48)-1</f>
        <v>-2.8657833092103311</v>
      </c>
      <c r="V48" s="58">
        <f t="shared" si="122"/>
        <v>3358008.33</v>
      </c>
      <c r="W48" s="443">
        <f t="shared" si="123"/>
        <v>-0.20604858163910045</v>
      </c>
      <c r="X48" s="390">
        <f t="shared" si="124"/>
        <v>-3362461.11</v>
      </c>
      <c r="Y48" s="493">
        <f t="shared" si="125"/>
        <v>0.21493927787914635</v>
      </c>
      <c r="Z48" s="58">
        <f t="shared" si="126"/>
        <v>-1819825.52</v>
      </c>
      <c r="AA48" s="443">
        <f t="shared" si="127"/>
        <v>-0.16195263421606843</v>
      </c>
      <c r="AB48" s="390">
        <f>AB30</f>
        <v>1867235.8</v>
      </c>
      <c r="AC48" s="440">
        <f t="shared" si="128"/>
        <v>-1.9510026080766851</v>
      </c>
      <c r="AD48" s="58">
        <f t="shared" si="129"/>
        <v>4229488.42</v>
      </c>
      <c r="AE48" s="443">
        <f t="shared" si="130"/>
        <v>0.16962514101564174</v>
      </c>
      <c r="AF48" s="390">
        <f t="shared" si="131"/>
        <v>-2767596.0200000005</v>
      </c>
      <c r="AG48" s="493">
        <f t="shared" si="132"/>
        <v>9.6078077118597029</v>
      </c>
      <c r="AH48" s="58">
        <f t="shared" si="133"/>
        <v>-2171506.7599999998</v>
      </c>
      <c r="AI48" s="443">
        <f t="shared" si="134"/>
        <v>-1.7875909935879013</v>
      </c>
      <c r="AJ48" s="390">
        <f>AJ30</f>
        <v>-1963439.2</v>
      </c>
      <c r="AK48" s="440">
        <f>(AJ48/AR48)-1</f>
        <v>-0.24268301136548331</v>
      </c>
      <c r="AL48" s="58">
        <f t="shared" si="135"/>
        <v>3616105.94</v>
      </c>
      <c r="AM48" s="443">
        <f t="shared" si="136"/>
        <v>1.7851103827213359</v>
      </c>
      <c r="AN48" s="390">
        <f t="shared" si="137"/>
        <v>-260901.78999999998</v>
      </c>
      <c r="AO48" s="493">
        <f t="shared" si="138"/>
        <v>-0.88575355561921909</v>
      </c>
      <c r="AP48" s="58">
        <f t="shared" si="139"/>
        <v>2757150.32</v>
      </c>
      <c r="AQ48" s="443">
        <f t="shared" si="170"/>
        <v>-0.27510582089261548</v>
      </c>
      <c r="AR48" s="390">
        <f>AR30</f>
        <v>-2592625.3199999998</v>
      </c>
      <c r="AS48" s="440">
        <f t="shared" si="140"/>
        <v>-3.375558931460461</v>
      </c>
      <c r="AT48" s="58">
        <f t="shared" si="141"/>
        <v>1298370.7800000003</v>
      </c>
      <c r="AU48" s="443">
        <f t="shared" si="142"/>
        <v>-0.82071196219254916</v>
      </c>
      <c r="AV48" s="390">
        <f t="shared" si="143"/>
        <v>-2283675.3600000003</v>
      </c>
      <c r="AW48" s="493">
        <f t="shared" si="144"/>
        <v>0.15928369393873676</v>
      </c>
      <c r="AX48" s="58">
        <f t="shared" si="145"/>
        <v>3803521.12</v>
      </c>
      <c r="AY48" s="443">
        <f t="shared" si="171"/>
        <v>-3.0978106810032031</v>
      </c>
      <c r="AZ48" s="390">
        <f>AZ30</f>
        <v>1091374.8700000001</v>
      </c>
      <c r="BA48" s="440">
        <f t="shared" si="146"/>
        <v>-1.5356611334552159</v>
      </c>
      <c r="BB48" s="58">
        <f t="shared" si="147"/>
        <v>7241814.8799999999</v>
      </c>
      <c r="BC48" s="443">
        <f t="shared" si="148"/>
        <v>16.689831819188012</v>
      </c>
      <c r="BD48" s="390">
        <f t="shared" si="149"/>
        <v>-1969902.0799999996</v>
      </c>
      <c r="BE48" s="440">
        <f t="shared" si="150"/>
        <v>42.586099104670105</v>
      </c>
      <c r="BF48" s="58">
        <f t="shared" si="151"/>
        <v>-1813090.7399999993</v>
      </c>
      <c r="BG48" s="443">
        <f t="shared" si="164"/>
        <v>-9.3440329021190482E-2</v>
      </c>
      <c r="BH48" s="390">
        <f>BH30</f>
        <v>-2037435.2400000007</v>
      </c>
      <c r="BI48" s="440">
        <f>(BH48/BP48)-1</f>
        <v>0.4609887157245729</v>
      </c>
      <c r="BJ48" s="58">
        <f t="shared" si="152"/>
        <v>409377.25999999978</v>
      </c>
      <c r="BK48" s="443">
        <f t="shared" si="166"/>
        <v>-0.84654613760425346</v>
      </c>
      <c r="BL48" s="47">
        <f>BL30-BN30</f>
        <v>-45195.650000000373</v>
      </c>
      <c r="BM48" s="391">
        <f t="shared" si="172"/>
        <v>-0.96396910388117185</v>
      </c>
      <c r="BN48" s="58">
        <f t="shared" si="153"/>
        <v>-1999968.4499999997</v>
      </c>
      <c r="BO48" s="443">
        <f t="shared" si="167"/>
        <v>-1.8999632377217412</v>
      </c>
      <c r="BP48" s="390">
        <f>BP30</f>
        <v>-1394559.19</v>
      </c>
      <c r="BQ48" s="440">
        <f t="shared" si="168"/>
        <v>9.3794488787507806</v>
      </c>
      <c r="BR48" s="58">
        <f t="shared" si="154"/>
        <v>2667754.682800001</v>
      </c>
      <c r="BS48" s="443">
        <f t="shared" si="169"/>
        <v>-0.18521202109700785</v>
      </c>
      <c r="BT48" s="47">
        <f>BT30-BV30</f>
        <v>-1254358.2000000016</v>
      </c>
      <c r="BU48" s="391">
        <f t="shared" si="155"/>
        <v>-2.2250660738805683</v>
      </c>
      <c r="BV48" s="58">
        <f t="shared" si="156"/>
        <v>2222277.9399999981</v>
      </c>
      <c r="BW48" s="443">
        <f>BV48/CB48-1</f>
        <v>-5.2086206086775322</v>
      </c>
      <c r="BX48" s="390">
        <f>BX30</f>
        <v>-134357.72999999998</v>
      </c>
      <c r="BY48" s="440">
        <f t="shared" si="158"/>
        <v>-0.84942532815236826</v>
      </c>
      <c r="BZ48" s="58">
        <f>[1]RZIS!AD20</f>
        <v>3274170.3999999994</v>
      </c>
      <c r="CA48" s="47">
        <f>CA30-CB30</f>
        <v>1023910.6500000006</v>
      </c>
      <c r="CB48" s="58">
        <f>CB30-CC30</f>
        <v>-528030.00000000023</v>
      </c>
      <c r="CC48" s="442">
        <v>-892299.66999999969</v>
      </c>
      <c r="CD48" s="23">
        <v>2911289.400000005</v>
      </c>
      <c r="CE48" s="47">
        <v>1334941.069999997</v>
      </c>
      <c r="CF48" s="23">
        <v>-745353.61999999988</v>
      </c>
      <c r="CG48" s="442">
        <v>-516480.60999999958</v>
      </c>
      <c r="CH48" s="23">
        <v>-81347.609999998473</v>
      </c>
      <c r="CI48" s="47">
        <v>-730395.56000000238</v>
      </c>
      <c r="CJ48" s="23">
        <v>-1849713.0899999989</v>
      </c>
      <c r="CK48" s="441">
        <v>-1130647.6200000001</v>
      </c>
      <c r="CL48" s="23">
        <v>4160091.8899999997</v>
      </c>
      <c r="CM48" s="47">
        <v>174063.5</v>
      </c>
      <c r="CN48" s="23">
        <v>-1115458.2700000005</v>
      </c>
      <c r="CO48" s="47">
        <v>-2330669.0299999998</v>
      </c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</row>
    <row r="49" spans="1:59" ht="27.9" customHeight="1">
      <c r="A49" s="401"/>
      <c r="B49" s="505"/>
      <c r="C49" s="401"/>
      <c r="D49" s="401"/>
      <c r="E49" s="401"/>
      <c r="F49" s="401"/>
      <c r="G49" s="401"/>
      <c r="H49" s="401"/>
      <c r="I49" s="401"/>
      <c r="J49" s="401"/>
      <c r="K49" s="401"/>
      <c r="L49" s="402"/>
      <c r="M49" s="401"/>
      <c r="N49" s="401"/>
      <c r="O49" s="403"/>
      <c r="P49" s="403"/>
      <c r="Q49" s="403"/>
      <c r="R49" s="404"/>
      <c r="S49" s="404"/>
      <c r="T49" s="404"/>
      <c r="U49" s="403"/>
      <c r="V49" s="403"/>
      <c r="W49" s="403"/>
      <c r="X49" s="405"/>
      <c r="Y49" s="405"/>
      <c r="Z49" s="403"/>
      <c r="AA49" s="403"/>
      <c r="AB49" s="403"/>
      <c r="AC49" s="403"/>
      <c r="AD49" s="403"/>
      <c r="AE49" s="403"/>
      <c r="AF49" s="403"/>
      <c r="AG49" s="403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ht="27.9" customHeight="1">
      <c r="A50" s="406"/>
      <c r="B50" s="480"/>
      <c r="C50" s="406"/>
      <c r="D50" s="406"/>
      <c r="E50" s="406"/>
      <c r="F50" s="406"/>
      <c r="G50" s="406"/>
      <c r="H50" s="406"/>
      <c r="I50" s="406"/>
      <c r="J50" s="406"/>
      <c r="K50" s="406"/>
      <c r="L50" s="407"/>
      <c r="M50" s="407"/>
      <c r="N50" s="408"/>
      <c r="O50" s="408"/>
      <c r="P50" s="409"/>
      <c r="Q50" s="409"/>
      <c r="R50" s="409"/>
      <c r="S50" s="410"/>
      <c r="T50" s="410"/>
      <c r="U50" s="410"/>
      <c r="V50" s="410"/>
      <c r="W50" s="410"/>
      <c r="X50" s="410"/>
      <c r="Y50" s="410"/>
      <c r="Z50" s="410"/>
      <c r="AA50" s="410"/>
      <c r="AB50" s="410"/>
      <c r="AC50" s="410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9" ht="27.9" customHeight="1">
      <c r="A51" s="406"/>
      <c r="B51" s="480"/>
      <c r="C51" s="406"/>
      <c r="D51" s="406"/>
      <c r="E51" s="406"/>
      <c r="F51" s="406"/>
      <c r="G51" s="406"/>
      <c r="H51" s="406"/>
      <c r="I51" s="406"/>
      <c r="J51" s="406"/>
      <c r="K51" s="407"/>
      <c r="L51" s="407"/>
      <c r="M51" s="411"/>
      <c r="N51" s="411"/>
      <c r="O51" s="411"/>
      <c r="P51" s="409"/>
      <c r="Q51" s="409"/>
      <c r="R51" s="401"/>
      <c r="S51" s="401"/>
      <c r="T51" s="412"/>
      <c r="U51" s="401"/>
      <c r="V51" s="401"/>
      <c r="W51" s="401"/>
      <c r="X51" s="401"/>
      <c r="Y51" s="401"/>
      <c r="Z51" s="401"/>
      <c r="AA51" s="401"/>
      <c r="AB51" s="401"/>
    </row>
    <row r="52" spans="1:59" ht="27.9" customHeight="1">
      <c r="A52" s="406"/>
      <c r="B52" s="480"/>
      <c r="C52" s="406"/>
      <c r="D52" s="406"/>
      <c r="E52" s="406"/>
      <c r="F52" s="406"/>
      <c r="G52" s="406"/>
      <c r="H52" s="406"/>
      <c r="I52" s="401"/>
      <c r="J52" s="401"/>
      <c r="K52" s="411"/>
      <c r="L52" s="411"/>
      <c r="M52" s="411"/>
      <c r="N52" s="411"/>
      <c r="O52" s="409"/>
      <c r="P52" s="409"/>
      <c r="Q52" s="401"/>
      <c r="R52" s="401"/>
      <c r="S52" s="401"/>
      <c r="T52" s="401"/>
      <c r="U52" s="401"/>
      <c r="V52" s="401"/>
      <c r="W52" s="401"/>
      <c r="X52" s="401"/>
      <c r="Y52" s="401"/>
      <c r="Z52" s="401"/>
    </row>
    <row r="53" spans="1:59" ht="27.9" customHeight="1">
      <c r="A53" s="406"/>
      <c r="B53" s="480"/>
      <c r="C53" s="406"/>
      <c r="D53" s="406"/>
      <c r="E53" s="406"/>
      <c r="F53" s="406"/>
      <c r="G53" s="406"/>
      <c r="H53" s="401"/>
      <c r="I53" s="401"/>
      <c r="J53" s="411"/>
      <c r="K53" s="411"/>
      <c r="L53" s="411"/>
      <c r="M53" s="411"/>
      <c r="N53" s="409"/>
      <c r="O53" s="409"/>
      <c r="P53" s="409"/>
      <c r="Q53" s="401"/>
      <c r="R53" s="401"/>
      <c r="S53" s="401"/>
      <c r="T53" s="401"/>
      <c r="U53" s="412"/>
      <c r="V53" s="401"/>
      <c r="W53" s="401"/>
      <c r="X53" s="401"/>
      <c r="Y53" s="401"/>
    </row>
    <row r="54" spans="1:59" ht="27.9" customHeight="1">
      <c r="A54" s="406"/>
      <c r="B54" s="480"/>
      <c r="C54" s="406"/>
      <c r="D54" s="406"/>
      <c r="E54" s="406"/>
      <c r="F54" s="406"/>
      <c r="G54" s="406"/>
      <c r="H54" s="401"/>
      <c r="I54" s="401"/>
      <c r="J54" s="411"/>
      <c r="K54" s="411"/>
      <c r="L54" s="411"/>
      <c r="M54" s="411"/>
      <c r="N54" s="409"/>
      <c r="O54" s="409"/>
      <c r="P54" s="409"/>
      <c r="Q54" s="401"/>
      <c r="R54" s="401"/>
      <c r="S54" s="401"/>
      <c r="T54" s="401"/>
      <c r="U54" s="401"/>
      <c r="V54" s="401"/>
      <c r="W54" s="401"/>
      <c r="X54" s="401"/>
      <c r="Y54" s="401"/>
    </row>
    <row r="55" spans="1:59" ht="27.9" customHeight="1">
      <c r="A55" s="406"/>
      <c r="B55" s="480"/>
      <c r="C55" s="406"/>
      <c r="D55" s="406"/>
      <c r="E55" s="406"/>
      <c r="F55" s="406"/>
      <c r="G55" s="406"/>
      <c r="H55" s="401"/>
      <c r="I55" s="401"/>
      <c r="J55" s="411"/>
      <c r="K55" s="411"/>
      <c r="L55" s="411"/>
      <c r="M55" s="411"/>
      <c r="N55" s="409"/>
      <c r="O55" s="409"/>
      <c r="P55" s="409"/>
      <c r="Q55" s="401"/>
      <c r="R55" s="401"/>
      <c r="S55" s="401"/>
      <c r="T55" s="401"/>
      <c r="U55" s="401"/>
      <c r="V55" s="401"/>
      <c r="W55" s="401"/>
      <c r="X55" s="401"/>
      <c r="Y55" s="401"/>
    </row>
    <row r="56" spans="1:59" ht="27.9" customHeight="1">
      <c r="A56" s="406"/>
      <c r="B56" s="480"/>
      <c r="C56" s="406"/>
      <c r="D56" s="406"/>
      <c r="E56" s="406"/>
      <c r="F56" s="406"/>
      <c r="G56" s="406"/>
      <c r="H56" s="413"/>
      <c r="I56" s="413"/>
      <c r="J56" s="414"/>
      <c r="K56" s="414"/>
      <c r="L56" s="414"/>
      <c r="M56" s="414"/>
      <c r="N56" s="399"/>
      <c r="O56" s="399"/>
      <c r="P56" s="399"/>
      <c r="Q56" s="413"/>
      <c r="R56" s="413"/>
      <c r="S56" s="413"/>
      <c r="T56" s="413"/>
      <c r="U56" s="413"/>
      <c r="V56" s="413"/>
      <c r="W56" s="413"/>
      <c r="X56" s="413"/>
      <c r="Y56" s="413"/>
    </row>
    <row r="57" spans="1:59" ht="27.9" customHeight="1">
      <c r="A57" s="406"/>
      <c r="B57" s="480"/>
      <c r="C57" s="406"/>
      <c r="D57" s="406"/>
      <c r="E57" s="406"/>
      <c r="F57" s="406"/>
      <c r="G57" s="406"/>
      <c r="H57" s="401"/>
      <c r="I57" s="401"/>
      <c r="J57" s="411"/>
      <c r="K57" s="411"/>
      <c r="L57" s="411"/>
      <c r="M57" s="411"/>
      <c r="N57" s="409"/>
      <c r="O57" s="409"/>
      <c r="P57" s="409"/>
      <c r="Q57" s="401"/>
      <c r="R57" s="412"/>
      <c r="S57" s="401"/>
      <c r="T57" s="401"/>
      <c r="U57" s="401"/>
      <c r="V57" s="412"/>
      <c r="W57" s="412"/>
      <c r="X57" s="401"/>
      <c r="Y57" s="401"/>
    </row>
    <row r="58" spans="1:59" ht="27.9" customHeight="1">
      <c r="A58" s="406"/>
      <c r="B58" s="480"/>
      <c r="C58" s="406"/>
      <c r="D58" s="406"/>
      <c r="E58" s="406"/>
      <c r="F58" s="406"/>
      <c r="G58" s="406"/>
      <c r="H58" s="413"/>
      <c r="I58" s="413"/>
      <c r="J58" s="414"/>
      <c r="K58" s="414"/>
      <c r="L58" s="414"/>
      <c r="M58" s="414"/>
      <c r="N58" s="399"/>
      <c r="O58" s="399"/>
      <c r="P58" s="399"/>
      <c r="Q58" s="413"/>
      <c r="R58" s="413"/>
      <c r="S58" s="413"/>
      <c r="T58" s="413"/>
      <c r="U58" s="413"/>
      <c r="V58" s="413"/>
      <c r="W58" s="413"/>
      <c r="X58" s="413"/>
      <c r="Y58" s="413"/>
    </row>
    <row r="59" spans="1:59" ht="21">
      <c r="B59" s="480"/>
      <c r="J59" s="415"/>
      <c r="K59" s="415"/>
    </row>
    <row r="60" spans="1:59" ht="21">
      <c r="B60" s="480"/>
      <c r="J60" s="415"/>
      <c r="K60" s="415"/>
    </row>
    <row r="61" spans="1:59" ht="21">
      <c r="B61" s="480"/>
      <c r="J61" s="415"/>
      <c r="K61" s="415"/>
    </row>
    <row r="62" spans="1:59" ht="21">
      <c r="B62" s="480"/>
      <c r="J62" s="415"/>
      <c r="K62" s="415"/>
    </row>
    <row r="63" spans="1:59" ht="21">
      <c r="B63" s="480"/>
      <c r="J63" s="415"/>
      <c r="K63" s="415"/>
    </row>
    <row r="64" spans="1:59" ht="21">
      <c r="B64" s="480"/>
    </row>
    <row r="65" spans="2:11" ht="21">
      <c r="B65" s="480"/>
      <c r="J65" s="415"/>
      <c r="K65" s="415"/>
    </row>
    <row r="66" spans="2:11" ht="21">
      <c r="B66" s="480"/>
      <c r="J66" s="415"/>
      <c r="K66" s="415"/>
    </row>
    <row r="67" spans="2:11" ht="21">
      <c r="B67" s="480"/>
      <c r="J67" s="415"/>
      <c r="K67" s="415"/>
    </row>
    <row r="68" spans="2:11" ht="21">
      <c r="B68" s="480"/>
      <c r="J68" s="415"/>
      <c r="K68" s="415"/>
    </row>
    <row r="69" spans="2:11" ht="21">
      <c r="B69" s="480"/>
      <c r="J69" s="415"/>
      <c r="K69" s="415"/>
    </row>
    <row r="70" spans="2:11" ht="21">
      <c r="B70" s="480"/>
      <c r="J70" s="415"/>
      <c r="K70" s="415"/>
    </row>
    <row r="71" spans="2:11" ht="21">
      <c r="B71" s="480"/>
    </row>
    <row r="72" spans="2:11" ht="21">
      <c r="B72" s="480"/>
    </row>
    <row r="73" spans="2:11" ht="21">
      <c r="B73" s="480"/>
    </row>
  </sheetData>
  <mergeCells count="4">
    <mergeCell ref="A1:O1"/>
    <mergeCell ref="A3:L3"/>
    <mergeCell ref="A21:L21"/>
    <mergeCell ref="A39:L39"/>
  </mergeCells>
  <pageMargins left="0.19685039370078741" right="0" top="0.19685039370078741" bottom="0.19685039370078741" header="0" footer="0"/>
  <pageSetup paperSize="9" scale="39" fitToHeight="0" orientation="landscape" horizontalDpi="4294967293" verticalDpi="4294967293" r:id="rId1"/>
  <headerFooter>
    <oddFooter>&amp;RREDWOOD PR
powered by PROFESCAPITAL</oddFooter>
  </headerFooter>
  <ignoredErrors>
    <ignoredError sqref="BN23:BS23 BS41:BU48 BP46 BX46:CB46 R10:V10 BY28 BN25:BS28 BO24:BS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9</vt:i4>
      </vt:variant>
    </vt:vector>
  </HeadingPairs>
  <TitlesOfParts>
    <vt:vector size="18" baseType="lpstr">
      <vt:lpstr>WYBRANE DANE</vt:lpstr>
      <vt:lpstr>BILANS</vt:lpstr>
      <vt:lpstr>RZIS </vt:lpstr>
      <vt:lpstr>PP</vt:lpstr>
      <vt:lpstr>ZZWKW</vt:lpstr>
      <vt:lpstr>SEGMENTY I</vt:lpstr>
      <vt:lpstr>SEGMENTY II</vt:lpstr>
      <vt:lpstr>WKAŹNIKI</vt:lpstr>
      <vt:lpstr>LUBAWA S.A. - WYBRANE DANE</vt:lpstr>
      <vt:lpstr>BILANS!Obszar_wydruku</vt:lpstr>
      <vt:lpstr>'LUBAWA S.A. - WYBRANE DANE'!Obszar_wydruku</vt:lpstr>
      <vt:lpstr>PP!Obszar_wydruku</vt:lpstr>
      <vt:lpstr>'RZIS '!Obszar_wydruku</vt:lpstr>
      <vt:lpstr>'SEGMENTY I'!Obszar_wydruku</vt:lpstr>
      <vt:lpstr>'SEGMENTY II'!Obszar_wydruku</vt:lpstr>
      <vt:lpstr>WKAŹNIKI!Obszar_wydruku</vt:lpstr>
      <vt:lpstr>'WYBRANE DANE'!Obszar_wydruku</vt:lpstr>
      <vt:lpstr>ZZWKW!Obszar_wydruku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2025-09-24T12:43:34Z</dcterms:modified>
</cp:coreProperties>
</file>